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/>
  <mc:AlternateContent xmlns:mc="http://schemas.openxmlformats.org/markup-compatibility/2006">
    <mc:Choice Requires="x15">
      <x15ac:absPath xmlns:x15ac="http://schemas.microsoft.com/office/spreadsheetml/2010/11/ac" url="C:\Users\tsl5\Downloads\"/>
    </mc:Choice>
  </mc:AlternateContent>
  <xr:revisionPtr revIDLastSave="0" documentId="13_ncr:1_{4DD6E060-7A88-4DC7-B2C6-D063C6D971E5}" xr6:coauthVersionLast="47" xr6:coauthVersionMax="47" xr10:uidLastSave="{00000000-0000-0000-0000-000000000000}"/>
  <bookViews>
    <workbookView xWindow="-120" yWindow="-120" windowWidth="29040" windowHeight="15720" firstSheet="1" activeTab="2" xr2:uid="{00000000-000D-0000-FFFF-FFFF00000000}"/>
  </bookViews>
  <sheets>
    <sheet name="Лист1" sheetId="1" state="hidden" r:id="rId1"/>
    <sheet name="Бюджет на 2024 год_6000" sheetId="4" r:id="rId2"/>
    <sheet name="Бюджет на 2024 год_9000" sheetId="3" r:id="rId3"/>
  </sheets>
  <definedNames>
    <definedName name="_xlnm.Print_Titles" localSheetId="1">'Бюджет на 2024 год_6000'!$4:$4</definedName>
    <definedName name="_xlnm.Print_Titles" localSheetId="2">'Бюджет на 2024 год_9000'!$4:$4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4" l="1"/>
  <c r="C7" i="3"/>
  <c r="C6" i="4"/>
  <c r="C6" i="3"/>
  <c r="D7" i="4" l="1"/>
  <c r="D7" i="3"/>
  <c r="B71" i="4" l="1"/>
  <c r="B66" i="4"/>
  <c r="E65" i="4"/>
  <c r="C61" i="4"/>
  <c r="C62" i="4" s="1"/>
  <c r="C49" i="4"/>
  <c r="C47" i="4"/>
  <c r="C44" i="4"/>
  <c r="C37" i="4"/>
  <c r="C30" i="4"/>
  <c r="C27" i="4"/>
  <c r="D27" i="4" s="1"/>
  <c r="C26" i="4"/>
  <c r="D26" i="4" s="1"/>
  <c r="C25" i="4"/>
  <c r="D25" i="4" s="1"/>
  <c r="C24" i="4"/>
  <c r="D24" i="4" s="1"/>
  <c r="C23" i="4"/>
  <c r="D23" i="4" s="1"/>
  <c r="C18" i="4"/>
  <c r="C17" i="4"/>
  <c r="C16" i="4"/>
  <c r="C15" i="4"/>
  <c r="C14" i="4"/>
  <c r="C13" i="4" s="1"/>
  <c r="C12" i="4"/>
  <c r="D12" i="4" s="1"/>
  <c r="F12" i="4" s="1"/>
  <c r="D11" i="4"/>
  <c r="C10" i="4"/>
  <c r="D10" i="4" s="1"/>
  <c r="D9" i="4"/>
  <c r="D5" i="4"/>
  <c r="C5" i="4"/>
  <c r="C47" i="3"/>
  <c r="C23" i="3"/>
  <c r="D11" i="3"/>
  <c r="C21" i="4" l="1"/>
  <c r="B64" i="4"/>
  <c r="C63" i="4"/>
  <c r="C8" i="4"/>
  <c r="B71" i="3"/>
  <c r="B66" i="3"/>
  <c r="E65" i="3"/>
  <c r="C61" i="3"/>
  <c r="C62" i="3" s="1"/>
  <c r="C63" i="3" s="1"/>
  <c r="C49" i="3"/>
  <c r="C44" i="3"/>
  <c r="C40" i="3"/>
  <c r="C38" i="3"/>
  <c r="C30" i="3"/>
  <c r="C27" i="3"/>
  <c r="D27" i="3" s="1"/>
  <c r="C26" i="3"/>
  <c r="D26" i="3" s="1"/>
  <c r="C25" i="3"/>
  <c r="D25" i="3" s="1"/>
  <c r="C24" i="3"/>
  <c r="D24" i="3" s="1"/>
  <c r="D23" i="3"/>
  <c r="C22" i="3"/>
  <c r="C18" i="3"/>
  <c r="C17" i="3"/>
  <c r="C16" i="3"/>
  <c r="C15" i="3"/>
  <c r="C14" i="3"/>
  <c r="C12" i="3"/>
  <c r="D12" i="3" s="1"/>
  <c r="F12" i="3" s="1"/>
  <c r="C10" i="3"/>
  <c r="D10" i="3" s="1"/>
  <c r="D9" i="3"/>
  <c r="C8" i="3"/>
  <c r="D5" i="3"/>
  <c r="C5" i="3"/>
  <c r="C37" i="3" l="1"/>
  <c r="C53" i="4"/>
  <c r="B59" i="4" s="1"/>
  <c r="D65" i="4" s="1"/>
  <c r="C13" i="3"/>
  <c r="B64" i="3"/>
  <c r="C21" i="3"/>
  <c r="C53" i="3" l="1"/>
  <c r="B59" i="3" s="1"/>
  <c r="D62" i="4"/>
  <c r="D64" i="4"/>
  <c r="D61" i="4"/>
  <c r="D63" i="4"/>
  <c r="D65" i="3" l="1"/>
  <c r="D64" i="3"/>
  <c r="D62" i="3"/>
  <c r="D63" i="3"/>
  <c r="D61" i="3"/>
  <c r="D11" i="1"/>
  <c r="D10" i="1" l="1"/>
  <c r="D22" i="1" l="1"/>
  <c r="D39" i="1"/>
  <c r="D35" i="1"/>
  <c r="D36" i="1"/>
  <c r="D37" i="1"/>
  <c r="D40" i="1"/>
  <c r="C50" i="1"/>
  <c r="C28" i="1"/>
  <c r="D28" i="1" s="1"/>
  <c r="D15" i="1"/>
  <c r="D24" i="1"/>
  <c r="D31" i="1"/>
  <c r="D32" i="1"/>
  <c r="D25" i="1"/>
  <c r="D38" i="1"/>
  <c r="D34" i="1"/>
  <c r="D33" i="1"/>
  <c r="D29" i="1"/>
  <c r="D30" i="1"/>
  <c r="D42" i="1"/>
  <c r="D41" i="1"/>
  <c r="D27" i="1"/>
  <c r="D21" i="1"/>
  <c r="D20" i="1"/>
  <c r="D14" i="1"/>
  <c r="D12" i="1"/>
  <c r="D9" i="1"/>
  <c r="D49" i="1" l="1"/>
  <c r="D48" i="1"/>
  <c r="D47" i="1"/>
  <c r="D46" i="1"/>
  <c r="D43" i="1"/>
  <c r="D26" i="1"/>
  <c r="D23" i="1"/>
  <c r="D18" i="1"/>
  <c r="D17" i="1"/>
  <c r="D16" i="1"/>
  <c r="D13" i="1"/>
  <c r="D8" i="1"/>
</calcChain>
</file>

<file path=xl/sharedStrings.xml><?xml version="1.0" encoding="utf-8"?>
<sst xmlns="http://schemas.openxmlformats.org/spreadsheetml/2006/main" count="403" uniqueCount="186">
  <si>
    <t>СМЕТА расходов</t>
  </si>
  <si>
    <t>наименование расхода</t>
  </si>
  <si>
    <t>исполнитель</t>
  </si>
  <si>
    <t>сумма в месяц</t>
  </si>
  <si>
    <t>Зарплата председателя</t>
  </si>
  <si>
    <t>Взносы с зарплаты председателя</t>
  </si>
  <si>
    <t>Налог на землю</t>
  </si>
  <si>
    <t>Хозрасходы</t>
  </si>
  <si>
    <t>Услуги банков</t>
  </si>
  <si>
    <t>Право доступа в СБИС</t>
  </si>
  <si>
    <t>Услуги бухгалтера</t>
  </si>
  <si>
    <t>Стартбух ООО</t>
  </si>
  <si>
    <t>Услуги экономиста</t>
  </si>
  <si>
    <t>Моисеева ТА</t>
  </si>
  <si>
    <t>Претензии  судебные</t>
  </si>
  <si>
    <t>Кураев АВ</t>
  </si>
  <si>
    <t xml:space="preserve">Нефедова НС(бух)
</t>
  </si>
  <si>
    <t>ЧОП Антарес</t>
  </si>
  <si>
    <t>Хозрасходы мелкие</t>
  </si>
  <si>
    <t>оплата по бизнес-карте (канцтовары, хозяйственные расходы, услуги связи...)</t>
  </si>
  <si>
    <t>Юридическое обслуживание</t>
  </si>
  <si>
    <t>Альтернатива ООО (акт экспертного обследования)</t>
  </si>
  <si>
    <t>УПРАВЛЕНИЕ РОСРЕЕСТРА ПО НИЖЕГОРОДСКОЙ ОБЛАСТИ (плата за предоставление сведений из ЕГРН)</t>
  </si>
  <si>
    <t>ЭКСПЕРТ - ПОМОЩЬ НН ООО (услуга оценочной стоимости)</t>
  </si>
  <si>
    <t>Госпошлина</t>
  </si>
  <si>
    <t>Ремонт, хозрасходы</t>
  </si>
  <si>
    <t xml:space="preserve">Аверон ООО (лоток, решетка, крепеж  водоотводный)
</t>
  </si>
  <si>
    <t>ИНСТРУМЕНТМАРКЕТ ООО (электроустановочные изделия)</t>
  </si>
  <si>
    <r>
      <rPr>
        <sz val="12"/>
        <rFont val="Times New Roman"/>
        <family val="1"/>
        <charset val="204"/>
      </rPr>
      <t>СТИЛЬ КРОВЛИ ООО</t>
    </r>
  </si>
  <si>
    <t>ТАНТОС ООО (плата блока управления для шлагбаумов)</t>
  </si>
  <si>
    <t>Коммунальные расходы</t>
  </si>
  <si>
    <t>НИЖЕГОРОДСКИЙ ВОДОКАНАЛ АО</t>
  </si>
  <si>
    <t>НИЖЭКОЛОГИЯ ОКА ООО (вывоз ТКО)</t>
  </si>
  <si>
    <t>РОСТЕЛЕКОМ (услуги связи)</t>
  </si>
  <si>
    <t>ТНС ЭНЕРГО НН ПАО</t>
  </si>
  <si>
    <t>ИТОГО</t>
  </si>
  <si>
    <t xml:space="preserve"> в год</t>
  </si>
  <si>
    <t>прим</t>
  </si>
  <si>
    <t xml:space="preserve"> первый вариант 2024г.</t>
  </si>
  <si>
    <t>сумма за 12 месяцев 2024г</t>
  </si>
  <si>
    <t xml:space="preserve">Инкасс Коллект ООО            </t>
  </si>
  <si>
    <t>оплата после получения</t>
  </si>
  <si>
    <t>Крюков АП (уборка снега.)</t>
  </si>
  <si>
    <t>Демонтаж здания правления</t>
  </si>
  <si>
    <t>по делу Вовчика А.Р</t>
  </si>
  <si>
    <t>по антаресу (претензия)</t>
  </si>
  <si>
    <t>покупка 20 светильников с датчиком освещённости,мощностью 10 ват. установка на гаражи с электричеством. Компенсация из членских взносов 100 руб в месяц за включеный светильник.</t>
  </si>
  <si>
    <t xml:space="preserve">Юридическое обслуживание </t>
  </si>
  <si>
    <t>Сторожа ночь (контроль работы шлагбаума, проверка работы освещения и камер видеонаблюдения)</t>
  </si>
  <si>
    <t>электрика работа (демонтаж провода, монтаж кабеля, монтаж автоматики)</t>
  </si>
  <si>
    <t>ООО юрис помощь устав , учередительные документы, работа с должниками, суды по собранию</t>
  </si>
  <si>
    <t>уборка</t>
  </si>
  <si>
    <t>покос травы, пиление мелких деревьев, дробление мелких деревьев дробилкой</t>
  </si>
  <si>
    <t xml:space="preserve">уборка </t>
  </si>
  <si>
    <t>пиление деревьев на территории ГСК 6 шт. без вывоза.</t>
  </si>
  <si>
    <t xml:space="preserve">укборка </t>
  </si>
  <si>
    <t>на субботник два камаза по12 000, два контейнера на 7,9 лин7ию</t>
  </si>
  <si>
    <t>устройство стяжки пола на КПП С подогревом</t>
  </si>
  <si>
    <t>Аренда офиса рядом с территорией ГСК.</t>
  </si>
  <si>
    <t>Охрана</t>
  </si>
  <si>
    <t>установка 8 камер и блок регистрации</t>
  </si>
  <si>
    <t>уменьншение стоимости налога возможно примерно в два раза примерно за 150 000 руб.</t>
  </si>
  <si>
    <t>на 10.12.2023</t>
  </si>
  <si>
    <t>аренда зала под собрание</t>
  </si>
  <si>
    <t>хоз расходы</t>
  </si>
  <si>
    <t>всего 650 членов ГСК, тоесть оплаченные взносы.</t>
  </si>
  <si>
    <t>Если мы сделаем членский взнос 8 000 руб. то сумма будет равна 5 200 000.</t>
  </si>
  <si>
    <t>70 000 группа в судах</t>
  </si>
  <si>
    <t>всего 962 бокса три номера не существует</t>
  </si>
  <si>
    <t>два бокса кладовки</t>
  </si>
  <si>
    <t xml:space="preserve">  135 гаражей мёртвые. Согласно данным 2019 года</t>
  </si>
  <si>
    <t>2023 году.</t>
  </si>
  <si>
    <t xml:space="preserve">100 гаржей не оплатили в </t>
  </si>
  <si>
    <t>Налоги с зарплаты председателя</t>
  </si>
  <si>
    <t>Заработная плата:</t>
  </si>
  <si>
    <t>Договора:</t>
  </si>
  <si>
    <t>ЕГРН</t>
  </si>
  <si>
    <t>Банки:</t>
  </si>
  <si>
    <t>Необходимые расходы:</t>
  </si>
  <si>
    <t>Хозяйственные расходы:</t>
  </si>
  <si>
    <t>Юридические расходы:</t>
  </si>
  <si>
    <t>Расходы на ремонт:</t>
  </si>
  <si>
    <t>Уборка - субботники:</t>
  </si>
  <si>
    <t>не существуют</t>
  </si>
  <si>
    <t>Кладовка</t>
  </si>
  <si>
    <t>Мёртвые</t>
  </si>
  <si>
    <t>Членов ГСК</t>
  </si>
  <si>
    <t>гаражей</t>
  </si>
  <si>
    <t>Демонтаж здания правления силами членов ГСК. Вывоз мусора.</t>
  </si>
  <si>
    <t>УПРАВЛЕНИЕ РОСРЕЕСТРА ПО НИЖЕГОРОДСКОЙ ОБЛАСТИ (плата за оформление долей земли общего пользования в ЕГРН)</t>
  </si>
  <si>
    <t>Аренда офиса</t>
  </si>
  <si>
    <t>Аренда офиса по адресу: ул. Родионова, д. 165 И</t>
  </si>
  <si>
    <t>Видеонаблюдение</t>
  </si>
  <si>
    <t>Канцтовары, хозяйственные расходы</t>
  </si>
  <si>
    <t>Оплата по делу Вовчика</t>
  </si>
  <si>
    <t>Работа с должниками</t>
  </si>
  <si>
    <t>Сторожа сутки (контроль работы шлагбаума, проверка работы освещения и камер видеонаблюдения)
3000 в сутки * 365 дней</t>
  </si>
  <si>
    <t>Ремонтные работы</t>
  </si>
  <si>
    <t>Сварить каркас из уголков на частично сломанный лоток</t>
  </si>
  <si>
    <t>Освещение по линиям</t>
  </si>
  <si>
    <t>ГСМ</t>
  </si>
  <si>
    <t>Комментарий</t>
  </si>
  <si>
    <t>Наименование расхода</t>
  </si>
  <si>
    <t>Исполнитель</t>
  </si>
  <si>
    <t>Сумма за 12 месяцев 2024 г</t>
  </si>
  <si>
    <t>Сумма в месяц</t>
  </si>
  <si>
    <t>СМЕТА расходов на 2024 год</t>
  </si>
  <si>
    <t xml:space="preserve">Косилка - покос травы в с мая по октябрь
</t>
  </si>
  <si>
    <t>закупка бензина для выполнения работ на территории ГСК</t>
  </si>
  <si>
    <t>Опломбировка - 2500 р. и распломбировка - 2500 р счётчика + расход воды</t>
  </si>
  <si>
    <t>Оплата после поступления суммы долгов по членским взносам на р/с  (по договору 40 % от полученной суммы)</t>
  </si>
  <si>
    <t>Оплата электричества 10 кВт в сутки по 7,5 руб. = 750 руб. в сутки 
В месяц 30 * 750 = 22 500 руб.
Берём расчёт на 10 месяцев с сентября по июнь.
22 500 * 10 = 225 000 руб.</t>
  </si>
  <si>
    <t>• Разработка нового Устава - 20 000 руб.
• Оформление учредительных документов.
• Участие в судах.</t>
  </si>
  <si>
    <r>
      <t xml:space="preserve">Покупка 20 светильников с датчиком освещённости, мощностью 10 ват. по 1 500 руб.
ИТОГО: 20 * 1500 = </t>
    </r>
    <r>
      <rPr>
        <b/>
        <sz val="12"/>
        <color theme="1"/>
        <rFont val="Times New Roman"/>
        <family val="1"/>
        <charset val="204"/>
      </rPr>
      <t>30 000</t>
    </r>
    <r>
      <rPr>
        <sz val="12"/>
        <color theme="1"/>
        <rFont val="Times New Roman"/>
        <family val="1"/>
        <charset val="204"/>
      </rPr>
      <t xml:space="preserve"> руб.
Монтаж на гаражи с электричеством – 1 500 руб. за гараж
ИТОГО: 20 * 1 500 = </t>
    </r>
    <r>
      <rPr>
        <b/>
        <sz val="12"/>
        <color theme="1"/>
        <rFont val="Times New Roman"/>
        <family val="1"/>
        <charset val="204"/>
      </rPr>
      <t>30 000</t>
    </r>
    <r>
      <rPr>
        <sz val="12"/>
        <color theme="1"/>
        <rFont val="Times New Roman"/>
        <family val="1"/>
        <charset val="204"/>
      </rPr>
      <t xml:space="preserve"> руб.
Компенсация из членских взносов 100 руб. в месяц за включённый светильник. (кто подключает светильник к своему гаражу, платит членский взнос на 1 200 руб. меньше)
ИТОГО: 20 * 1 200 = </t>
    </r>
    <r>
      <rPr>
        <b/>
        <sz val="12"/>
        <color theme="1"/>
        <rFont val="Times New Roman"/>
        <family val="1"/>
        <charset val="204"/>
      </rPr>
      <t>24 000</t>
    </r>
    <r>
      <rPr>
        <sz val="12"/>
        <color theme="1"/>
        <rFont val="Times New Roman"/>
        <family val="1"/>
        <charset val="204"/>
      </rPr>
      <t xml:space="preserve"> руб.</t>
    </r>
  </si>
  <si>
    <t>МФУ</t>
  </si>
  <si>
    <t>Оргтехника - офис</t>
  </si>
  <si>
    <t>Уборка территории</t>
  </si>
  <si>
    <r>
      <t>Тёплый пол - 20 000 руб. (площадь 9 м</t>
    </r>
    <r>
      <rPr>
        <vertAlign val="super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)
Закупка материала для заливки - ???
За работу - ???
Сумма может быть скорректирована при заключении договора.</t>
    </r>
  </si>
  <si>
    <r>
      <t xml:space="preserve">I квартал
</t>
    </r>
    <r>
      <rPr>
        <sz val="14"/>
        <color theme="1"/>
        <rFont val="Calibri"/>
        <family val="2"/>
        <charset val="204"/>
        <scheme val="minor"/>
      </rPr>
      <t>до 28 апреля</t>
    </r>
  </si>
  <si>
    <r>
      <t xml:space="preserve">II квартал
</t>
    </r>
    <r>
      <rPr>
        <sz val="14"/>
        <color theme="1"/>
        <rFont val="Calibri"/>
        <family val="2"/>
        <charset val="204"/>
        <scheme val="minor"/>
      </rPr>
      <t>до 28 июля</t>
    </r>
  </si>
  <si>
    <r>
      <t xml:space="preserve">III квартал
</t>
    </r>
    <r>
      <rPr>
        <sz val="14"/>
        <color theme="1"/>
        <rFont val="Calibri"/>
        <family val="2"/>
        <charset val="204"/>
        <scheme val="minor"/>
      </rPr>
      <t>до 30 октября</t>
    </r>
  </si>
  <si>
    <r>
      <t xml:space="preserve">IV квартал
</t>
    </r>
    <r>
      <rPr>
        <sz val="14"/>
        <color theme="1"/>
        <rFont val="Calibri"/>
        <family val="2"/>
        <charset val="204"/>
        <scheme val="minor"/>
      </rPr>
      <t>до 28 февраля 2025 г</t>
    </r>
  </si>
  <si>
    <t>ООО юрис помощь устав, учередительные документы, работа с должниками, суды по собранию</t>
  </si>
  <si>
    <t>Канц и хозрасходы мелкие</t>
  </si>
  <si>
    <t>Всего боксов</t>
  </si>
  <si>
    <t>Членский взнос, руб.</t>
  </si>
  <si>
    <t>Бюджет на 2024 год</t>
  </si>
  <si>
    <t>Разбить на группы по 30 человек. За оформление доли каждый собственник оплачивает 2000 руб.
При оформлении документов группой членов (30-50 собственников), ГСК платит за каждую группу 22 000 руб. или за каждого члена ГСК 22000, если оформлять по отдельности.
Поэтому будем собирать группы от 30 до 50 собственников и оформлять доли.
Берём рассчёт на 820 собственников и группы по 30 человек
=820/30*22000</t>
  </si>
  <si>
    <t>Услуги связи Председателя ГСК (сим карта ГСК).
Оплата облачного хранилища, оплата за сайт ГСК.</t>
  </si>
  <si>
    <t>Услуги связи</t>
  </si>
  <si>
    <t>Подготовка к собранию 18 февраля 2024 г</t>
  </si>
  <si>
    <t>Самозанятый - налог оплачивает самостоятельно.</t>
  </si>
  <si>
    <t>ПСБ - за год.</t>
  </si>
  <si>
    <t>Сбербанк и Промсвязь банк - за год.</t>
  </si>
  <si>
    <t>Чугунов И.П.</t>
  </si>
  <si>
    <t>Промсвязь банк</t>
  </si>
  <si>
    <t>Сбербанк и Промсвязь банк</t>
  </si>
  <si>
    <t>Не платят ЧВ всего</t>
  </si>
  <si>
    <t>Для расчёта бюджета</t>
  </si>
  <si>
    <t>Для информации:</t>
  </si>
  <si>
    <t>год</t>
  </si>
  <si>
    <t>кол-во оплативших ЧВ</t>
  </si>
  <si>
    <t>Какое обоснование такой суммы? Текущие пошлины расчитываются так:
До 20 000 рублей 4% цены иска, но не менее 400 рублей
От 20 001 рубля до 100 000 рублей 800 рублей + 3% суммы, превышающей 20 000 рублей
От 100 001 рубля до 200 000 рублей 3 200 рублей + 2% суммы, превышающей 100 000 рублей</t>
  </si>
  <si>
    <t>Земля общего пользования находится в собственности ГСК, согласно п.3.1 Устава и не подлежит передаче участникам ГСК за исключением случая ликвидации ГСК согласно п.3.4 Устава. Однако, согласно п.4.2 Устава, долю в общей собственности может, но не обязан, получить собственник, внеся целевой взнос. Для чего собственникам выкупать доли общего имущества, если согласно п.4.12 Устава они и так несут бремя содержания - неясно, разве что земельный налог уплачивать самостоятельно вместо ГСК.</t>
  </si>
  <si>
    <t>Где будет устанавливаться? Что происходит с имеющимся установленным оборудованием: его состояние, использование, обслуживание?</t>
  </si>
  <si>
    <t>Непонятно, как взята оценка, что именно 750 гаражей оплатят ЧВ за 2024 год.</t>
  </si>
  <si>
    <t>Добавить в доходную часть вступительные взносы от новых членов кооператива</t>
  </si>
  <si>
    <t>Добавить в доходную часть проценты, начисленные на остаток ДС на р/с в банках</t>
  </si>
  <si>
    <t>Добавить в доходную часть возврат гос. пошлин за обращения в суд на должников. П.5.7.2, 5.7.3 Устава</t>
  </si>
  <si>
    <t>Цена таких светильников - от 570 до 1100 рублей в розницу, оплата по б/н от юрлица!</t>
  </si>
  <si>
    <t>Ч/б формата А4 начального уровня стоит от 13250р. в рознице (Pantum M6500), оплата по б/н от юрлица. Оригинальные картриджи на 1600 страниц стоят 3200 руб. Заправка - кратно дешевле. Месячный объем печати - до 1000 страниц. Итого на год МФУ+комплект картриджей 38850 руб. (это оценка сверху, реально будет меньше). И из следующей строки убрать заправку картриджей.</t>
  </si>
  <si>
    <t>Добавить в доходную часть доходы от предпнинимательской деятельности Кооператива согласно Уставу</t>
  </si>
  <si>
    <t>Вопросы</t>
  </si>
  <si>
    <r>
      <t xml:space="preserve">Какое обоснование расчета 10кВт в сутки?
Пример расчета.
Установлено 10 светильников по 300 Вт итого 3 кВт, оборудование видеонаблюдения на 0,1 кВт, </t>
    </r>
    <r>
      <rPr>
        <b/>
        <sz val="11"/>
        <color theme="1"/>
        <rFont val="Calibri"/>
        <family val="2"/>
        <charset val="204"/>
        <scheme val="minor"/>
      </rPr>
      <t xml:space="preserve">нужды охраны 200 кВт в месяц. </t>
    </r>
    <r>
      <rPr>
        <sz val="11"/>
        <color theme="1"/>
        <rFont val="Calibri"/>
        <family val="2"/>
        <charset val="204"/>
        <scheme val="minor"/>
      </rPr>
      <t xml:space="preserve">
Средняя продолжительность осветительного дня в НН за год - 12 часов. 
Следовательно, в среднем в сутки за год тратится (3*12 + 0,1*24) * 366 + 200*12 = 16 416 кВт. 
По 7,5 руб. получается 123 120 руб. в год.</t>
    </r>
  </si>
  <si>
    <r>
      <rPr>
        <b/>
        <sz val="12"/>
        <color theme="1"/>
        <rFont val="Times New Roman"/>
        <family val="1"/>
        <charset val="204"/>
      </rPr>
      <t>По решению общего собрания</t>
    </r>
    <r>
      <rPr>
        <sz val="12"/>
        <color theme="1"/>
        <rFont val="Times New Roman"/>
        <family val="1"/>
        <charset val="204"/>
      </rPr>
      <t xml:space="preserve"> о подаче претензии в арбитражный суд. </t>
    </r>
  </si>
  <si>
    <r>
      <t xml:space="preserve">Подача заявлений на должников в суд.
До 20 000 рублей 4% цены иска, но не менее 400 рублей
Долги до 20 000 руб  120 гаражей - 120*400 = </t>
    </r>
    <r>
      <rPr>
        <b/>
        <sz val="12"/>
        <color rgb="FF000000"/>
        <rFont val="Times New Roman"/>
        <family val="1"/>
        <charset val="204"/>
      </rPr>
      <t>48 000 руб.</t>
    </r>
    <r>
      <rPr>
        <sz val="12"/>
        <color rgb="FF000000"/>
        <rFont val="Times New Roman"/>
        <family val="1"/>
        <charset val="204"/>
      </rPr>
      <t xml:space="preserve">
От 20 001 рубля до 100 000 рублей 800 рублей + 3% суммы, превышающей 20 000 рублей
232 гаража сумма долгов более 20 000 руб.
221 * 800 = </t>
    </r>
    <r>
      <rPr>
        <b/>
        <sz val="12"/>
        <color rgb="FF000000"/>
        <rFont val="Times New Roman"/>
        <family val="1"/>
        <charset val="204"/>
      </rPr>
      <t>176 800 руб.</t>
    </r>
    <r>
      <rPr>
        <sz val="12"/>
        <color rgb="FF000000"/>
        <rFont val="Times New Roman"/>
        <family val="1"/>
        <charset val="204"/>
      </rPr>
      <t xml:space="preserve">
От 100 001 рубля до 200 000 рублей 3 200 рублей + 2% суммы, превышающей 100 000 рублей
Долги от 100 000 руб. 11 гаражей  - 3200*11 = </t>
    </r>
    <r>
      <rPr>
        <b/>
        <sz val="12"/>
        <color rgb="FF000000"/>
        <rFont val="Times New Roman"/>
        <family val="1"/>
        <charset val="204"/>
      </rPr>
      <t>35 200 руб.</t>
    </r>
    <r>
      <rPr>
        <sz val="12"/>
        <color rgb="FF000000"/>
        <rFont val="Times New Roman"/>
        <family val="1"/>
        <charset val="204"/>
      </rPr>
      <t xml:space="preserve">
</t>
    </r>
    <r>
      <rPr>
        <b/>
        <sz val="12"/>
        <color rgb="FF000000"/>
        <rFont val="Times New Roman"/>
        <family val="1"/>
        <charset val="204"/>
      </rPr>
      <t>ИТГО: 48 000 + 176 800 + 35 200 = 260 000 руб.</t>
    </r>
    <r>
      <rPr>
        <sz val="12"/>
        <color rgb="FF000000"/>
        <rFont val="Times New Roman"/>
        <family val="1"/>
        <charset val="204"/>
      </rPr>
      <t xml:space="preserve">
Планируем расход 100 000 руб., т.к. планируем работу с должниками так же своими силами.</t>
    </r>
  </si>
  <si>
    <t>Вывоз мусора после разбора - 4 камаза по 12 000 руб.
Работа трактора - 1500 руб. в час работа 8 часов
Работа рассчитана на 2 дня. Разбор силами членов ГСК.</t>
  </si>
  <si>
    <t>Необходимость сканирования документов для формирования архива в электоронном виде.
Делать копии документов.
Ч/б формата А4 начального уровня стоит от 13 250 р. в рознице (Pantum M6500), оплата по б/н от юрлица. Оригинальные картриджи на 1 600 страниц стоят 3 200 руб. Заправка - кратно дешевле. Месячный объем печати - до 1 000 страниц. 
Итого на год МФУ+комплект картриджей 38 850 руб.</t>
  </si>
  <si>
    <t>Рядом с гаражами 4054, 2071, 3122, 5038</t>
  </si>
  <si>
    <t>В субботник 20 апреля и 5 октября. Даты могут быть скорректированы.</t>
  </si>
  <si>
    <t>596 гаражей оплатили ЧВ за 2023 год из них 9 гаражей заплатили ЧВ за 2023 год в 2024 году.</t>
  </si>
  <si>
    <t>В доходную часть возврат гос. пошлин за обращения в суд на должников. П.5.7.2, 5.7.3 Устава</t>
  </si>
  <si>
    <t>В доходную часть вступительные взносы от новых членов кооператива</t>
  </si>
  <si>
    <t>В доходную часть доходы от предпнинимательской деятельности Кооператива согласно Уставу</t>
  </si>
  <si>
    <t>оплата в 2022 году - 490 гаражей; в 2023 году за 2022 г - 123 гаража; в 2024 году - 7 гаражей</t>
  </si>
  <si>
    <t>оплата в 2023 году - 587 гаражей; в 2024 году - 9 гаражей</t>
  </si>
  <si>
    <t xml:space="preserve">Планируем утвердить членские взнося 9 000 руб., т.к. возможно получение дохода от возврата госпошлины - 100 000 руб., вступительных взносов от новых собственников, от предпринимательской деятельности ГСК (установка вышки - арендная плата 12 000 руб./мес. 12 000*6 = 72 000 руб.) </t>
  </si>
  <si>
    <t>Сделать ворота на 6 линии для уборки снега с территории ГСК.</t>
  </si>
  <si>
    <t>Сумма ориентировочная.
Сумма может быть скорректирована при заключении договора.</t>
  </si>
  <si>
    <t>Уборка снега и мусора . 
Работа трактора в субботник.
Договор на 5 месяцев (январь - апрель и ноябрь, декабрь 2024)</t>
  </si>
  <si>
    <t>Один человек в сутки за 3 000 руб.  - самозанятый.
Налог оплачивают самостоятельно.
Работа охраны с марта по декабрь 2024 год.
=3000*(366-31-29)</t>
  </si>
  <si>
    <t>2 контейнера в месяц = 24 
субботник весна - 2 контейнера + 4 машины
субботник весна - 2 контейнера + 4 машины
Итого: 28 контейнеров + 8 машин для вывоза мусора
Цена одного контейнера - 9 500 руб.
Цена одной машины - 9 500 руб.
36 * 9500 = 342 000 руб.</t>
  </si>
  <si>
    <t>Комплект оборудования с установкой
Фирма - ООО "Группа Север"
КП на сумму - 316 566 руб.
10 камер с заводом в КПП. Линии - 2, 3, 4, 7.
Ждём ещё две сметы от других компаний.
Возможно будет немного дешевле.</t>
  </si>
  <si>
    <t>Подготовка к собранию 31 марта 2024 г</t>
  </si>
  <si>
    <t>Уборка сервиса после собрания - 7 000 руб.
Прочие расходы - 10 000 руб. (покупка 2-х картриджей, заправка 1-го картриджа, бумага 5 пачек, файлы, степлер, скобки - 2 уп., планшеты (держатель бумаг) - 5 шт.
Флэшка для видеосёмки - 1 шт. - 1 199 р</t>
  </si>
  <si>
    <t>Сумма 24 000 руб. на канц товары ориентировочная. 
Бумага, файлы с перфорацией, разделители с перфорацией, ручки, карандаши, скрепки, скобы для степлера, клей ПВА, бумажные блоки с клейким краем для записей, папки для документов.</t>
  </si>
  <si>
    <t>Мешки для мусора, бахилы, мешки на субботник, швабра, щётка на КПП и в офис, тряпки для пола, вёдра, корзина для мусора, электрический чайник в офис и на КПП, микроволновая печь на КПП (люди будут работать сутками). Гвозди, саморезы, лопаты, топливо и т.д. Если денежные средства останутся, то пойдут на нужды ГСК.</t>
  </si>
  <si>
    <t>Хозяйственные расходы</t>
  </si>
  <si>
    <t>Питьевая вода на КПП</t>
  </si>
  <si>
    <t>4 бутылки в месяц.
2 = 500 руб.
4 = 1000 руб.</t>
  </si>
  <si>
    <t>Установка ворот по гаражам  1.2.3.4.5 римские</t>
  </si>
  <si>
    <t>30 000 руб. вернётся в ГСК членскими взносами в течение 3-х лет (реальная стоимость ворот 90 000 руб.)</t>
  </si>
  <si>
    <t>Отправка заказных писем</t>
  </si>
  <si>
    <t>317 руб - одно письмо.
30 *317 = 9 510 руб.</t>
  </si>
  <si>
    <t>10 светильников</t>
  </si>
  <si>
    <t>Рядом с гаражами 4054, 2071, 3122, 5038.
Гараж 9018 предложил свою помощь.
Спитил деревья бесплатно. Пила есть. (сообщение в телеграмме от 07.01.2024 г).
Экономия 51000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</si>
</sst>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\ "/>
    <numFmt numFmtId="165" formatCode="#,##0.00\ _₽"/>
  </numFmts>
  <fonts count="2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rgb="FF00808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b/>
      <sz val="12"/>
      <color rgb="FF00808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B3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14" fontId="9" fillId="0" borderId="0" xfId="0" applyNumberFormat="1" applyFont="1"/>
    <xf numFmtId="0" fontId="12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39" fontId="13" fillId="0" borderId="1" xfId="0" applyNumberFormat="1" applyFont="1" applyBorder="1" applyAlignment="1">
      <alignment horizontal="justify" vertical="top" wrapText="1"/>
    </xf>
    <xf numFmtId="39" fontId="13" fillId="0" borderId="1" xfId="0" applyNumberFormat="1" applyFont="1" applyBorder="1" applyAlignment="1">
      <alignment horizontal="right" vertical="top" wrapText="1"/>
    </xf>
    <xf numFmtId="4" fontId="13" fillId="0" borderId="1" xfId="0" applyNumberFormat="1" applyFont="1" applyBorder="1" applyAlignment="1">
      <alignment horizontal="right" vertical="top" wrapText="1"/>
    </xf>
    <xf numFmtId="14" fontId="9" fillId="0" borderId="1" xfId="0" applyNumberFormat="1" applyFont="1" applyBorder="1"/>
    <xf numFmtId="4" fontId="13" fillId="0" borderId="1" xfId="0" applyNumberFormat="1" applyFont="1" applyBorder="1" applyAlignment="1">
      <alignment horizontal="justify" vertical="top"/>
    </xf>
    <xf numFmtId="4" fontId="13" fillId="0" borderId="1" xfId="0" applyNumberFormat="1" applyFont="1" applyBorder="1" applyAlignment="1">
      <alignment horizontal="right" vertical="top"/>
    </xf>
    <xf numFmtId="4" fontId="13" fillId="0" borderId="1" xfId="0" applyNumberFormat="1" applyFont="1" applyBorder="1" applyAlignment="1">
      <alignment horizontal="justify" vertical="top" wrapText="1"/>
    </xf>
    <xf numFmtId="39" fontId="13" fillId="0" borderId="1" xfId="0" applyNumberFormat="1" applyFont="1" applyBorder="1" applyAlignment="1">
      <alignment horizontal="justify" vertical="top"/>
    </xf>
    <xf numFmtId="39" fontId="13" fillId="0" borderId="1" xfId="0" applyNumberFormat="1" applyFont="1" applyBorder="1" applyAlignment="1">
      <alignment horizontal="left" vertical="top" wrapText="1"/>
    </xf>
    <xf numFmtId="39" fontId="13" fillId="0" borderId="1" xfId="0" applyNumberFormat="1" applyFont="1" applyBorder="1" applyAlignment="1">
      <alignment horizontal="right" vertical="top"/>
    </xf>
    <xf numFmtId="39" fontId="14" fillId="0" borderId="1" xfId="0" applyNumberFormat="1" applyFont="1" applyBorder="1" applyAlignment="1">
      <alignment horizontal="justify"/>
    </xf>
    <xf numFmtId="4" fontId="14" fillId="0" borderId="1" xfId="0" applyNumberFormat="1" applyFont="1" applyBorder="1" applyAlignment="1">
      <alignment horizontal="right"/>
    </xf>
    <xf numFmtId="39" fontId="14" fillId="0" borderId="1" xfId="0" applyNumberFormat="1" applyFont="1" applyBorder="1" applyAlignment="1">
      <alignment horizontal="right"/>
    </xf>
    <xf numFmtId="0" fontId="9" fillId="0" borderId="1" xfId="0" applyFont="1" applyBorder="1"/>
    <xf numFmtId="0" fontId="11" fillId="0" borderId="1" xfId="0" applyFont="1" applyBorder="1"/>
    <xf numFmtId="39" fontId="11" fillId="0" borderId="1" xfId="0" applyNumberFormat="1" applyFont="1" applyBorder="1" applyAlignment="1">
      <alignment horizontal="justify"/>
    </xf>
    <xf numFmtId="39" fontId="11" fillId="0" borderId="1" xfId="0" applyNumberFormat="1" applyFont="1" applyBorder="1" applyAlignment="1">
      <alignment horizontal="center"/>
    </xf>
    <xf numFmtId="39" fontId="11" fillId="0" borderId="1" xfId="0" applyNumberFormat="1" applyFont="1" applyBorder="1" applyAlignment="1">
      <alignment horizontal="right"/>
    </xf>
    <xf numFmtId="4" fontId="9" fillId="0" borderId="0" xfId="0" applyNumberFormat="1" applyFont="1"/>
    <xf numFmtId="39" fontId="9" fillId="0" borderId="1" xfId="0" applyNumberFormat="1" applyFont="1" applyBorder="1" applyAlignment="1">
      <alignment horizontal="justify"/>
    </xf>
    <xf numFmtId="39" fontId="15" fillId="0" borderId="1" xfId="0" applyNumberFormat="1" applyFont="1" applyBorder="1" applyAlignment="1">
      <alignment horizontal="justify" vertical="top"/>
    </xf>
    <xf numFmtId="39" fontId="16" fillId="0" borderId="1" xfId="0" applyNumberFormat="1" applyFont="1" applyBorder="1" applyAlignment="1">
      <alignment horizontal="justify"/>
    </xf>
    <xf numFmtId="0" fontId="15" fillId="0" borderId="1" xfId="0" applyFont="1" applyBorder="1" applyAlignment="1">
      <alignment vertical="top" wrapText="1"/>
    </xf>
    <xf numFmtId="0" fontId="9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center" vertical="center" wrapText="1"/>
    </xf>
    <xf numFmtId="164" fontId="17" fillId="2" borderId="2" xfId="0" applyNumberFormat="1" applyFont="1" applyFill="1" applyBorder="1" applyAlignment="1">
      <alignment horizontal="center" vertical="center" wrapText="1"/>
    </xf>
    <xf numFmtId="4" fontId="17" fillId="2" borderId="2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39" fontId="13" fillId="0" borderId="2" xfId="0" applyNumberFormat="1" applyFont="1" applyBorder="1" applyAlignment="1">
      <alignment horizontal="justify" vertical="center" wrapText="1"/>
    </xf>
    <xf numFmtId="39" fontId="13" fillId="0" borderId="2" xfId="0" applyNumberFormat="1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39" fontId="13" fillId="0" borderId="2" xfId="0" applyNumberFormat="1" applyFont="1" applyBorder="1" applyAlignment="1">
      <alignment horizontal="justify" vertical="center"/>
    </xf>
    <xf numFmtId="4" fontId="13" fillId="0" borderId="2" xfId="0" applyNumberFormat="1" applyFont="1" applyBorder="1" applyAlignment="1">
      <alignment horizontal="center" vertical="center"/>
    </xf>
    <xf numFmtId="39" fontId="13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39" fontId="15" fillId="0" borderId="2" xfId="0" applyNumberFormat="1" applyFont="1" applyBorder="1" applyAlignment="1">
      <alignment horizontal="justify" vertical="center" wrapText="1"/>
    </xf>
    <xf numFmtId="4" fontId="13" fillId="0" borderId="2" xfId="0" applyNumberFormat="1" applyFont="1" applyBorder="1" applyAlignment="1">
      <alignment horizontal="justify" vertical="center" wrapText="1"/>
    </xf>
    <xf numFmtId="39" fontId="9" fillId="0" borderId="2" xfId="0" applyNumberFormat="1" applyFont="1" applyBorder="1" applyAlignment="1">
      <alignment horizontal="justify" vertical="center"/>
    </xf>
    <xf numFmtId="39" fontId="14" fillId="0" borderId="2" xfId="0" applyNumberFormat="1" applyFont="1" applyBorder="1" applyAlignment="1">
      <alignment horizontal="center" vertical="center"/>
    </xf>
    <xf numFmtId="4" fontId="13" fillId="0" borderId="2" xfId="0" applyNumberFormat="1" applyFont="1" applyBorder="1" applyAlignment="1">
      <alignment horizontal="justify" vertical="center"/>
    </xf>
    <xf numFmtId="39" fontId="15" fillId="0" borderId="2" xfId="0" applyNumberFormat="1" applyFont="1" applyBorder="1" applyAlignment="1">
      <alignment horizontal="justify" vertical="center"/>
    </xf>
    <xf numFmtId="39" fontId="16" fillId="0" borderId="2" xfId="0" applyNumberFormat="1" applyFont="1" applyBorder="1" applyAlignment="1">
      <alignment horizontal="justify" vertical="center"/>
    </xf>
    <xf numFmtId="4" fontId="14" fillId="0" borderId="2" xfId="0" applyNumberFormat="1" applyFont="1" applyBorder="1" applyAlignment="1">
      <alignment horizontal="center" vertical="center"/>
    </xf>
    <xf numFmtId="0" fontId="21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164" fontId="13" fillId="0" borderId="2" xfId="0" applyNumberFormat="1" applyFont="1" applyBorder="1" applyAlignment="1">
      <alignment horizontal="center" vertical="center" wrapText="1"/>
    </xf>
    <xf numFmtId="39" fontId="13" fillId="0" borderId="2" xfId="0" applyNumberFormat="1" applyFont="1" applyBorder="1" applyAlignment="1">
      <alignment horizontal="left" vertical="center" wrapText="1"/>
    </xf>
    <xf numFmtId="0" fontId="11" fillId="0" borderId="2" xfId="0" applyFont="1" applyBorder="1" applyAlignment="1">
      <alignment vertical="center"/>
    </xf>
    <xf numFmtId="39" fontId="11" fillId="0" borderId="2" xfId="0" applyNumberFormat="1" applyFont="1" applyBorder="1" applyAlignment="1">
      <alignment horizontal="justify" vertical="center"/>
    </xf>
    <xf numFmtId="39" fontId="11" fillId="0" borderId="2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23" fillId="0" borderId="0" xfId="0" applyFont="1"/>
    <xf numFmtId="0" fontId="10" fillId="0" borderId="0" xfId="0" applyFont="1" applyAlignment="1">
      <alignment wrapText="1"/>
    </xf>
    <xf numFmtId="0" fontId="23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5" fontId="8" fillId="0" borderId="2" xfId="0" applyNumberFormat="1" applyFont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4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4" fillId="3" borderId="0" xfId="0" applyFont="1" applyFill="1" applyAlignment="1">
      <alignment vertical="center"/>
    </xf>
    <xf numFmtId="0" fontId="22" fillId="3" borderId="0" xfId="0" applyFont="1" applyFill="1" applyAlignment="1">
      <alignment vertical="center" wrapText="1"/>
    </xf>
    <xf numFmtId="0" fontId="4" fillId="3" borderId="0" xfId="0" applyFont="1" applyFill="1"/>
    <xf numFmtId="0" fontId="2" fillId="3" borderId="0" xfId="0" applyFont="1" applyFill="1" applyAlignment="1">
      <alignment wrapText="1"/>
    </xf>
    <xf numFmtId="0" fontId="2" fillId="3" borderId="0" xfId="0" applyFont="1" applyFill="1"/>
    <xf numFmtId="0" fontId="26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39" fontId="24" fillId="2" borderId="2" xfId="0" applyNumberFormat="1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left" vertical="center"/>
    </xf>
    <xf numFmtId="0" fontId="23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8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colors>
    <mruColors>
      <color rgb="FFFFFF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60"/>
  <sheetViews>
    <sheetView workbookViewId="0">
      <selection sqref="A1:XFD1048576"/>
    </sheetView>
  </sheetViews>
  <sheetFormatPr defaultColWidth="9.140625" defaultRowHeight="15" x14ac:dyDescent="0.25"/>
  <cols>
    <col min="1" max="1" width="31.140625" customWidth="1"/>
    <col min="2" max="2" width="27" customWidth="1"/>
    <col min="3" max="3" width="18.85546875" customWidth="1"/>
    <col min="4" max="4" width="27.42578125" customWidth="1"/>
    <col min="5" max="5" width="24.85546875" customWidth="1"/>
  </cols>
  <sheetData>
    <row r="2" spans="1:6" ht="18.75" x14ac:dyDescent="0.3">
      <c r="A2" s="1"/>
      <c r="B2" s="2"/>
      <c r="C2" s="2" t="s">
        <v>0</v>
      </c>
      <c r="D2" t="s">
        <v>38</v>
      </c>
      <c r="E2" s="1"/>
      <c r="F2" s="1"/>
    </row>
    <row r="3" spans="1:6" ht="15.75" x14ac:dyDescent="0.25">
      <c r="A3" s="1"/>
      <c r="B3" s="1"/>
      <c r="C3" s="1"/>
      <c r="D3" s="1"/>
      <c r="E3" s="1"/>
      <c r="F3" s="1"/>
    </row>
    <row r="4" spans="1:6" ht="15.75" x14ac:dyDescent="0.25">
      <c r="A4" s="3"/>
      <c r="B4" s="1"/>
      <c r="C4" s="1"/>
      <c r="D4" s="4"/>
      <c r="E4" s="1"/>
      <c r="F4" s="1"/>
    </row>
    <row r="5" spans="1:6" ht="15" customHeight="1" x14ac:dyDescent="0.25">
      <c r="A5" s="5" t="s">
        <v>1</v>
      </c>
      <c r="B5" s="5" t="s">
        <v>2</v>
      </c>
      <c r="C5" s="5" t="s">
        <v>39</v>
      </c>
      <c r="D5" s="5" t="s">
        <v>3</v>
      </c>
      <c r="E5" s="5" t="s">
        <v>37</v>
      </c>
      <c r="F5" s="1"/>
    </row>
    <row r="6" spans="1:6" ht="15.75" x14ac:dyDescent="0.25">
      <c r="A6" s="6" t="s">
        <v>4</v>
      </c>
      <c r="B6" s="7"/>
      <c r="C6" s="8">
        <v>600000</v>
      </c>
      <c r="D6" s="9">
        <v>50000</v>
      </c>
      <c r="E6" s="10"/>
      <c r="F6" s="1"/>
    </row>
    <row r="7" spans="1:6" ht="31.5" x14ac:dyDescent="0.25">
      <c r="A7" s="6" t="s">
        <v>5</v>
      </c>
      <c r="B7" s="7"/>
      <c r="C7" s="8">
        <v>181200</v>
      </c>
      <c r="D7" s="9">
        <v>15100</v>
      </c>
      <c r="E7" s="10"/>
      <c r="F7" s="1"/>
    </row>
    <row r="8" spans="1:6" ht="15.75" x14ac:dyDescent="0.25">
      <c r="A8" s="6" t="s">
        <v>6</v>
      </c>
      <c r="B8" s="7"/>
      <c r="C8" s="8">
        <v>1630121</v>
      </c>
      <c r="D8" s="9">
        <f t="shared" ref="D8:D18" si="0">C8/9</f>
        <v>181124.55555555556</v>
      </c>
      <c r="E8" s="10"/>
      <c r="F8" s="1"/>
    </row>
    <row r="9" spans="1:6" ht="15.75" x14ac:dyDescent="0.25">
      <c r="A9" s="6" t="s">
        <v>7</v>
      </c>
      <c r="B9" s="11"/>
      <c r="C9" s="12">
        <v>199824</v>
      </c>
      <c r="D9" s="9">
        <f>C9/12</f>
        <v>16652</v>
      </c>
      <c r="E9" s="10"/>
      <c r="F9" s="1"/>
    </row>
    <row r="10" spans="1:6" ht="33.75" customHeight="1" x14ac:dyDescent="0.25">
      <c r="A10" s="6" t="s">
        <v>59</v>
      </c>
      <c r="B10" s="11" t="s">
        <v>60</v>
      </c>
      <c r="C10" s="12">
        <v>120000</v>
      </c>
      <c r="D10" s="9">
        <f>C10/12</f>
        <v>10000</v>
      </c>
      <c r="E10" s="10"/>
      <c r="F10" s="1"/>
    </row>
    <row r="11" spans="1:6" ht="33.75" customHeight="1" x14ac:dyDescent="0.25">
      <c r="A11" s="6" t="s">
        <v>64</v>
      </c>
      <c r="B11" s="11" t="s">
        <v>63</v>
      </c>
      <c r="C11" s="12">
        <v>19000</v>
      </c>
      <c r="D11" s="9">
        <f>C11/12</f>
        <v>1583.3333333333333</v>
      </c>
      <c r="E11" s="10"/>
      <c r="F11" s="1"/>
    </row>
    <row r="12" spans="1:6" ht="15.75" x14ac:dyDescent="0.25">
      <c r="A12" s="6" t="s">
        <v>8</v>
      </c>
      <c r="B12" s="13"/>
      <c r="C12" s="9">
        <v>75792</v>
      </c>
      <c r="D12" s="9">
        <f>C12/12</f>
        <v>6316</v>
      </c>
      <c r="E12" s="10"/>
      <c r="F12" s="1"/>
    </row>
    <row r="13" spans="1:6" ht="15.75" x14ac:dyDescent="0.25">
      <c r="A13" s="6" t="s">
        <v>9</v>
      </c>
      <c r="B13" s="7"/>
      <c r="C13" s="8">
        <v>9000</v>
      </c>
      <c r="D13" s="9">
        <f t="shared" si="0"/>
        <v>1000</v>
      </c>
      <c r="E13" s="10" t="s">
        <v>36</v>
      </c>
      <c r="F13" s="1"/>
    </row>
    <row r="14" spans="1:6" ht="15.75" x14ac:dyDescent="0.25">
      <c r="A14" s="6" t="s">
        <v>10</v>
      </c>
      <c r="B14" s="7" t="s">
        <v>11</v>
      </c>
      <c r="C14" s="8">
        <v>96000</v>
      </c>
      <c r="D14" s="9">
        <f>C14/12</f>
        <v>8000</v>
      </c>
      <c r="E14" s="10"/>
      <c r="F14" s="1"/>
    </row>
    <row r="15" spans="1:6" ht="15.75" x14ac:dyDescent="0.25">
      <c r="A15" s="6" t="s">
        <v>12</v>
      </c>
      <c r="B15" s="14" t="s">
        <v>13</v>
      </c>
      <c r="C15" s="12">
        <v>318000</v>
      </c>
      <c r="D15" s="9">
        <f>C15/12</f>
        <v>26500</v>
      </c>
      <c r="E15" s="10"/>
      <c r="F15" s="1"/>
    </row>
    <row r="16" spans="1:6" ht="15.75" x14ac:dyDescent="0.25">
      <c r="A16" s="6" t="s">
        <v>14</v>
      </c>
      <c r="B16" s="13" t="s">
        <v>15</v>
      </c>
      <c r="C16" s="9"/>
      <c r="D16" s="9">
        <f t="shared" si="0"/>
        <v>0</v>
      </c>
      <c r="E16" s="10"/>
      <c r="F16" s="1"/>
    </row>
    <row r="17" spans="1:6" ht="31.5" x14ac:dyDescent="0.25">
      <c r="A17" s="6" t="s">
        <v>14</v>
      </c>
      <c r="B17" s="13" t="s">
        <v>16</v>
      </c>
      <c r="C17" s="9"/>
      <c r="D17" s="9">
        <f t="shared" si="0"/>
        <v>0</v>
      </c>
      <c r="E17" s="10"/>
      <c r="F17" s="1"/>
    </row>
    <row r="18" spans="1:6" ht="15.75" x14ac:dyDescent="0.25">
      <c r="A18" s="6" t="s">
        <v>14</v>
      </c>
      <c r="B18" s="13" t="s">
        <v>17</v>
      </c>
      <c r="C18" s="9"/>
      <c r="D18" s="9">
        <f t="shared" si="0"/>
        <v>0</v>
      </c>
      <c r="E18" s="10"/>
      <c r="F18" s="1"/>
    </row>
    <row r="19" spans="1:6" ht="15.75" x14ac:dyDescent="0.25">
      <c r="A19" s="6"/>
      <c r="B19" s="8"/>
      <c r="C19" s="9"/>
      <c r="D19" s="9"/>
      <c r="E19" s="10"/>
      <c r="F19" s="1"/>
    </row>
    <row r="20" spans="1:6" ht="63" x14ac:dyDescent="0.25">
      <c r="A20" s="6" t="s">
        <v>18</v>
      </c>
      <c r="B20" s="15" t="s">
        <v>19</v>
      </c>
      <c r="C20" s="9">
        <v>183108</v>
      </c>
      <c r="D20" s="9">
        <f>C20/12</f>
        <v>15259</v>
      </c>
      <c r="E20" s="10"/>
      <c r="F20" s="1"/>
    </row>
    <row r="21" spans="1:6" ht="15.75" x14ac:dyDescent="0.25">
      <c r="A21" s="6" t="s">
        <v>18</v>
      </c>
      <c r="B21" s="7"/>
      <c r="C21" s="9"/>
      <c r="D21" s="9">
        <f>C21/12</f>
        <v>0</v>
      </c>
      <c r="E21" s="10"/>
      <c r="F21" s="1"/>
    </row>
    <row r="22" spans="1:6" ht="42.75" customHeight="1" x14ac:dyDescent="0.25">
      <c r="A22" s="6" t="s">
        <v>18</v>
      </c>
      <c r="B22" s="7" t="s">
        <v>58</v>
      </c>
      <c r="C22" s="8">
        <v>144000</v>
      </c>
      <c r="D22" s="9">
        <f>C22/12</f>
        <v>12000</v>
      </c>
      <c r="E22" s="10"/>
      <c r="F22" s="1"/>
    </row>
    <row r="23" spans="1:6" ht="47.25" x14ac:dyDescent="0.25">
      <c r="A23" s="6" t="s">
        <v>20</v>
      </c>
      <c r="B23" s="14" t="s">
        <v>21</v>
      </c>
      <c r="C23" s="16"/>
      <c r="D23" s="9">
        <f t="shared" ref="D23:D26" si="1">C23/9</f>
        <v>0</v>
      </c>
      <c r="E23" s="10"/>
      <c r="F23" s="1"/>
    </row>
    <row r="24" spans="1:6" ht="15.75" x14ac:dyDescent="0.25">
      <c r="A24" s="6" t="s">
        <v>20</v>
      </c>
      <c r="B24" s="27" t="s">
        <v>45</v>
      </c>
      <c r="C24" s="12">
        <v>120000</v>
      </c>
      <c r="D24" s="9">
        <f>C24/12</f>
        <v>10000</v>
      </c>
      <c r="E24" s="10"/>
      <c r="F24" s="1"/>
    </row>
    <row r="25" spans="1:6" ht="114.75" customHeight="1" x14ac:dyDescent="0.25">
      <c r="A25" s="29" t="s">
        <v>47</v>
      </c>
      <c r="B25" s="27" t="s">
        <v>50</v>
      </c>
      <c r="C25" s="12">
        <v>150000</v>
      </c>
      <c r="D25" s="9">
        <f>C25/12</f>
        <v>12500</v>
      </c>
      <c r="E25" s="10"/>
      <c r="F25" s="1"/>
    </row>
    <row r="26" spans="1:6" ht="18" customHeight="1" x14ac:dyDescent="0.25">
      <c r="A26" s="6" t="s">
        <v>20</v>
      </c>
      <c r="B26" s="26" t="s">
        <v>40</v>
      </c>
      <c r="C26" s="18"/>
      <c r="D26" s="9">
        <f t="shared" si="1"/>
        <v>0</v>
      </c>
      <c r="E26" s="10" t="s">
        <v>41</v>
      </c>
      <c r="F26" s="1"/>
    </row>
    <row r="27" spans="1:6" ht="94.5" x14ac:dyDescent="0.25">
      <c r="A27" s="6" t="s">
        <v>20</v>
      </c>
      <c r="B27" s="17" t="s">
        <v>22</v>
      </c>
      <c r="C27" s="19">
        <v>10000</v>
      </c>
      <c r="D27" s="9">
        <f>C27/12</f>
        <v>833.33333333333337</v>
      </c>
      <c r="E27" s="20"/>
    </row>
    <row r="28" spans="1:6" ht="15.75" x14ac:dyDescent="0.25">
      <c r="A28" s="6" t="s">
        <v>20</v>
      </c>
      <c r="B28" s="28" t="s">
        <v>44</v>
      </c>
      <c r="C28" s="18">
        <f>104000+8000</f>
        <v>112000</v>
      </c>
      <c r="D28" s="9">
        <f>C28/9</f>
        <v>12444.444444444445</v>
      </c>
      <c r="E28" s="20"/>
      <c r="F28" s="1"/>
    </row>
    <row r="29" spans="1:6" ht="47.25" x14ac:dyDescent="0.25">
      <c r="A29" s="6" t="s">
        <v>20</v>
      </c>
      <c r="B29" s="14" t="s">
        <v>23</v>
      </c>
      <c r="C29" s="16">
        <v>40000</v>
      </c>
      <c r="D29" s="9">
        <f>C29/12</f>
        <v>3333.3333333333335</v>
      </c>
      <c r="E29" s="20"/>
      <c r="F29" s="1"/>
    </row>
    <row r="30" spans="1:6" ht="15.75" x14ac:dyDescent="0.25">
      <c r="A30" s="6" t="s">
        <v>20</v>
      </c>
      <c r="B30" s="14" t="s">
        <v>24</v>
      </c>
      <c r="C30" s="12">
        <v>150000</v>
      </c>
      <c r="D30" s="9">
        <f>C30/12</f>
        <v>12500</v>
      </c>
      <c r="E30" s="20"/>
      <c r="F30" s="1"/>
    </row>
    <row r="31" spans="1:6" ht="15.75" x14ac:dyDescent="0.25">
      <c r="A31" s="6"/>
      <c r="B31" s="14"/>
      <c r="C31" s="16"/>
      <c r="D31" s="9">
        <f t="shared" ref="D31:D32" si="2">C31/12</f>
        <v>0</v>
      </c>
      <c r="E31" s="20"/>
      <c r="F31" s="1"/>
    </row>
    <row r="32" spans="1:6" ht="63" x14ac:dyDescent="0.25">
      <c r="A32" s="6" t="s">
        <v>25</v>
      </c>
      <c r="B32" s="7" t="s">
        <v>26</v>
      </c>
      <c r="C32" s="8">
        <v>30000</v>
      </c>
      <c r="D32" s="9">
        <f t="shared" si="2"/>
        <v>2500</v>
      </c>
      <c r="E32" s="20"/>
      <c r="F32" s="1"/>
    </row>
    <row r="33" spans="1:6" ht="63" x14ac:dyDescent="0.25">
      <c r="A33" s="6" t="s">
        <v>25</v>
      </c>
      <c r="B33" s="27" t="s">
        <v>49</v>
      </c>
      <c r="C33" s="16">
        <v>120000</v>
      </c>
      <c r="D33" s="9">
        <f t="shared" ref="D33:D42" si="3">C33/12</f>
        <v>10000</v>
      </c>
      <c r="E33" s="20"/>
      <c r="F33" s="1"/>
    </row>
    <row r="34" spans="1:6" ht="147.75" customHeight="1" x14ac:dyDescent="0.25">
      <c r="A34" s="6" t="s">
        <v>25</v>
      </c>
      <c r="B34" s="27" t="s">
        <v>46</v>
      </c>
      <c r="C34" s="16">
        <v>30000</v>
      </c>
      <c r="D34" s="9">
        <f t="shared" si="3"/>
        <v>2500</v>
      </c>
      <c r="E34" s="20"/>
      <c r="F34" s="1"/>
    </row>
    <row r="35" spans="1:6" ht="71.25" customHeight="1" x14ac:dyDescent="0.25">
      <c r="A35" s="29" t="s">
        <v>55</v>
      </c>
      <c r="B35" s="27" t="s">
        <v>56</v>
      </c>
      <c r="C35" s="16">
        <v>48000</v>
      </c>
      <c r="D35" s="9">
        <f t="shared" si="3"/>
        <v>4000</v>
      </c>
      <c r="E35" s="20"/>
      <c r="F35" s="1"/>
    </row>
    <row r="36" spans="1:6" ht="63" customHeight="1" x14ac:dyDescent="0.25">
      <c r="A36" s="29" t="s">
        <v>53</v>
      </c>
      <c r="B36" s="27" t="s">
        <v>54</v>
      </c>
      <c r="C36" s="16">
        <v>48000</v>
      </c>
      <c r="D36" s="9">
        <f t="shared" si="3"/>
        <v>4000</v>
      </c>
      <c r="E36" s="20"/>
      <c r="F36" s="1"/>
    </row>
    <row r="37" spans="1:6" ht="67.5" customHeight="1" x14ac:dyDescent="0.25">
      <c r="A37" s="29" t="s">
        <v>51</v>
      </c>
      <c r="B37" s="27" t="s">
        <v>52</v>
      </c>
      <c r="C37" s="16">
        <v>50000</v>
      </c>
      <c r="D37" s="9">
        <f t="shared" si="3"/>
        <v>4166.666666666667</v>
      </c>
      <c r="E37" s="20"/>
      <c r="F37" s="1"/>
    </row>
    <row r="38" spans="1:6" ht="63" x14ac:dyDescent="0.25">
      <c r="A38" s="6" t="s">
        <v>25</v>
      </c>
      <c r="B38" s="14" t="s">
        <v>27</v>
      </c>
      <c r="C38" s="12">
        <v>10732.3</v>
      </c>
      <c r="D38" s="9">
        <f t="shared" si="3"/>
        <v>894.35833333333323</v>
      </c>
      <c r="E38" s="20"/>
      <c r="F38" s="1"/>
    </row>
    <row r="39" spans="1:6" ht="54" customHeight="1" x14ac:dyDescent="0.25">
      <c r="A39" s="29" t="s">
        <v>25</v>
      </c>
      <c r="B39" s="27" t="s">
        <v>57</v>
      </c>
      <c r="C39" s="12">
        <v>100000</v>
      </c>
      <c r="D39" s="9">
        <f t="shared" si="3"/>
        <v>8333.3333333333339</v>
      </c>
      <c r="E39" s="20"/>
      <c r="F39" s="1"/>
    </row>
    <row r="40" spans="1:6" ht="78.75" x14ac:dyDescent="0.25">
      <c r="A40" s="6" t="s">
        <v>25</v>
      </c>
      <c r="B40" s="27" t="s">
        <v>48</v>
      </c>
      <c r="C40" s="16">
        <v>720000</v>
      </c>
      <c r="D40" s="9">
        <f t="shared" si="3"/>
        <v>60000</v>
      </c>
      <c r="E40" s="20"/>
      <c r="F40" s="1"/>
    </row>
    <row r="41" spans="1:6" ht="31.5" x14ac:dyDescent="0.25">
      <c r="A41" s="6" t="s">
        <v>25</v>
      </c>
      <c r="B41" s="27" t="s">
        <v>42</v>
      </c>
      <c r="C41" s="16">
        <v>230000</v>
      </c>
      <c r="D41" s="9">
        <f t="shared" si="3"/>
        <v>19166.666666666668</v>
      </c>
      <c r="E41" s="20"/>
      <c r="F41" s="1"/>
    </row>
    <row r="42" spans="1:6" ht="35.25" customHeight="1" x14ac:dyDescent="0.25">
      <c r="A42" s="6" t="s">
        <v>25</v>
      </c>
      <c r="B42" s="27" t="s">
        <v>43</v>
      </c>
      <c r="C42" s="16">
        <v>250000</v>
      </c>
      <c r="D42" s="9">
        <f t="shared" si="3"/>
        <v>20833.333333333332</v>
      </c>
      <c r="E42" s="20"/>
      <c r="F42" s="1"/>
    </row>
    <row r="43" spans="1:6" ht="15.75" x14ac:dyDescent="0.25">
      <c r="A43" s="6" t="s">
        <v>25</v>
      </c>
      <c r="B43" s="14" t="s">
        <v>28</v>
      </c>
      <c r="C43" s="16"/>
      <c r="D43" s="9">
        <f>C43/9</f>
        <v>0</v>
      </c>
      <c r="E43" s="20"/>
      <c r="F43" s="1"/>
    </row>
    <row r="44" spans="1:6" ht="47.25" x14ac:dyDescent="0.25">
      <c r="A44" s="6" t="s">
        <v>25</v>
      </c>
      <c r="B44" s="14" t="s">
        <v>29</v>
      </c>
      <c r="C44" s="12"/>
      <c r="D44" s="9"/>
      <c r="E44" s="20"/>
      <c r="F44" s="1"/>
    </row>
    <row r="45" spans="1:6" ht="15.75" x14ac:dyDescent="0.25">
      <c r="A45" s="6"/>
      <c r="B45" s="14"/>
      <c r="C45" s="16"/>
      <c r="D45" s="9"/>
      <c r="E45" s="20"/>
      <c r="F45" s="1"/>
    </row>
    <row r="46" spans="1:6" ht="31.5" x14ac:dyDescent="0.25">
      <c r="A46" s="6" t="s">
        <v>30</v>
      </c>
      <c r="B46" s="14" t="s">
        <v>31</v>
      </c>
      <c r="C46" s="12">
        <v>10000</v>
      </c>
      <c r="D46" s="9">
        <f>C46/12</f>
        <v>833.33333333333337</v>
      </c>
      <c r="E46" s="20"/>
      <c r="F46" s="1"/>
    </row>
    <row r="47" spans="1:6" ht="31.5" x14ac:dyDescent="0.25">
      <c r="A47" s="6" t="s">
        <v>30</v>
      </c>
      <c r="B47" s="11" t="s">
        <v>32</v>
      </c>
      <c r="C47" s="12">
        <v>180000</v>
      </c>
      <c r="D47" s="9">
        <f>C47/12</f>
        <v>15000</v>
      </c>
      <c r="E47" s="20"/>
      <c r="F47" s="1"/>
    </row>
    <row r="48" spans="1:6" ht="31.5" x14ac:dyDescent="0.25">
      <c r="A48" s="6" t="s">
        <v>30</v>
      </c>
      <c r="B48" s="14" t="s">
        <v>33</v>
      </c>
      <c r="C48" s="16">
        <v>1000</v>
      </c>
      <c r="D48" s="9">
        <f>C48/12</f>
        <v>83.333333333333329</v>
      </c>
      <c r="E48" s="20"/>
      <c r="F48" s="1"/>
    </row>
    <row r="49" spans="1:6" ht="15.75" x14ac:dyDescent="0.25">
      <c r="A49" s="6" t="s">
        <v>30</v>
      </c>
      <c r="B49" s="14" t="s">
        <v>34</v>
      </c>
      <c r="C49" s="12">
        <v>144000</v>
      </c>
      <c r="D49" s="9">
        <f>C49/12</f>
        <v>12000</v>
      </c>
      <c r="E49" s="20"/>
      <c r="F49" s="1"/>
    </row>
    <row r="50" spans="1:6" ht="15.75" x14ac:dyDescent="0.25">
      <c r="A50" s="21" t="s">
        <v>35</v>
      </c>
      <c r="B50" s="22"/>
      <c r="C50" s="23">
        <f>SUM(C6:C49)</f>
        <v>6129777.2999999998</v>
      </c>
      <c r="D50" s="24"/>
      <c r="E50" s="20"/>
      <c r="F50" s="1"/>
    </row>
    <row r="51" spans="1:6" ht="15.75" x14ac:dyDescent="0.25">
      <c r="A51" s="1"/>
      <c r="B51" s="1"/>
      <c r="C51" s="1"/>
      <c r="D51" s="1"/>
      <c r="E51" s="1"/>
      <c r="F51" s="1"/>
    </row>
    <row r="52" spans="1:6" ht="15.75" x14ac:dyDescent="0.25">
      <c r="A52" s="1"/>
      <c r="B52" s="1"/>
      <c r="C52" s="1"/>
      <c r="D52" s="1"/>
      <c r="E52" s="1"/>
    </row>
    <row r="53" spans="1:6" ht="15.75" x14ac:dyDescent="0.25">
      <c r="A53" s="1"/>
      <c r="B53" s="1" t="s">
        <v>61</v>
      </c>
      <c r="C53" s="1"/>
      <c r="D53" s="1"/>
      <c r="E53" s="25"/>
    </row>
    <row r="54" spans="1:6" ht="15.75" x14ac:dyDescent="0.25">
      <c r="A54" s="1"/>
      <c r="B54" s="1" t="s">
        <v>62</v>
      </c>
      <c r="C54" s="1"/>
      <c r="D54" s="1"/>
      <c r="E54" s="1"/>
    </row>
    <row r="55" spans="1:6" x14ac:dyDescent="0.25">
      <c r="B55" t="s">
        <v>65</v>
      </c>
    </row>
    <row r="56" spans="1:6" ht="15.75" x14ac:dyDescent="0.25">
      <c r="B56" s="1" t="s">
        <v>66</v>
      </c>
    </row>
    <row r="57" spans="1:6" ht="15.75" x14ac:dyDescent="0.25">
      <c r="B57" s="1" t="s">
        <v>68</v>
      </c>
      <c r="D57" t="s">
        <v>69</v>
      </c>
    </row>
    <row r="58" spans="1:6" ht="15.75" x14ac:dyDescent="0.25">
      <c r="B58" s="1" t="s">
        <v>70</v>
      </c>
    </row>
    <row r="59" spans="1:6" ht="15.75" x14ac:dyDescent="0.25">
      <c r="B59" s="1" t="s">
        <v>67</v>
      </c>
    </row>
    <row r="60" spans="1:6" ht="15.75" x14ac:dyDescent="0.25">
      <c r="B60" s="1" t="s">
        <v>72</v>
      </c>
      <c r="C60" t="s">
        <v>71</v>
      </c>
    </row>
  </sheetData>
  <pageMargins left="0.70866179466247603" right="0.70866179466247603" top="0.35433089733123802" bottom="0.157480418682098" header="0.31496062874794001" footer="0.31496062874794001"/>
  <pageSetup paperSize="9" fitToWidth="0" fitToHeight="0" orientation="landscape" r:id="rId1"/>
  <headerFooter>
    <oddHeader>&amp;R&amp;"Calibri"&amp;8&amp;K000000 INTERNAL&amp;1#_x000D_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71"/>
  <sheetViews>
    <sheetView workbookViewId="0">
      <selection activeCell="C10" sqref="C10"/>
    </sheetView>
  </sheetViews>
  <sheetFormatPr defaultColWidth="9.140625" defaultRowHeight="15" outlineLevelRow="1" outlineLevelCol="1" x14ac:dyDescent="0.25"/>
  <cols>
    <col min="1" max="1" width="31.140625" customWidth="1"/>
    <col min="2" max="2" width="30.85546875" customWidth="1"/>
    <col min="3" max="3" width="18.85546875" style="35" customWidth="1"/>
    <col min="4" max="4" width="27.42578125" style="35" customWidth="1"/>
    <col min="5" max="5" width="63.85546875" style="31" customWidth="1"/>
    <col min="6" max="6" width="92.5703125" hidden="1" customWidth="1" outlineLevel="1"/>
    <col min="7" max="7" width="9.140625" collapsed="1"/>
  </cols>
  <sheetData>
    <row r="1" spans="1:6" ht="18.75" x14ac:dyDescent="0.3">
      <c r="A1" s="1"/>
      <c r="B1" s="2"/>
      <c r="C1" s="34" t="s">
        <v>106</v>
      </c>
      <c r="E1" s="30"/>
    </row>
    <row r="2" spans="1:6" ht="15.75" x14ac:dyDescent="0.25">
      <c r="A2" s="1"/>
      <c r="B2" s="1"/>
      <c r="C2" s="77">
        <v>45367</v>
      </c>
      <c r="D2" s="36"/>
      <c r="E2" s="30"/>
    </row>
    <row r="3" spans="1:6" ht="15.75" x14ac:dyDescent="0.25">
      <c r="A3" s="3"/>
      <c r="B3" s="1"/>
      <c r="C3" s="36"/>
      <c r="D3" s="37"/>
      <c r="E3" s="30"/>
    </row>
    <row r="4" spans="1:6" s="32" customFormat="1" ht="31.5" x14ac:dyDescent="0.25">
      <c r="A4" s="38" t="s">
        <v>102</v>
      </c>
      <c r="B4" s="38" t="s">
        <v>103</v>
      </c>
      <c r="C4" s="38" t="s">
        <v>104</v>
      </c>
      <c r="D4" s="38" t="s">
        <v>105</v>
      </c>
      <c r="E4" s="38" t="s">
        <v>101</v>
      </c>
      <c r="F4" s="78" t="s">
        <v>152</v>
      </c>
    </row>
    <row r="5" spans="1:6" s="32" customFormat="1" ht="15" customHeight="1" x14ac:dyDescent="0.25">
      <c r="A5" s="39" t="s">
        <v>74</v>
      </c>
      <c r="B5" s="40"/>
      <c r="C5" s="41">
        <f>C6+C7</f>
        <v>781200</v>
      </c>
      <c r="D5" s="42">
        <f>D6+D7</f>
        <v>65100</v>
      </c>
      <c r="E5" s="40"/>
    </row>
    <row r="6" spans="1:6" s="32" customFormat="1" ht="15.75" outlineLevel="1" x14ac:dyDescent="0.25">
      <c r="A6" s="43" t="s">
        <v>4</v>
      </c>
      <c r="B6" s="44" t="s">
        <v>134</v>
      </c>
      <c r="C6" s="45">
        <f>D6*12</f>
        <v>600000</v>
      </c>
      <c r="D6" s="46">
        <v>50000</v>
      </c>
      <c r="E6" s="47"/>
    </row>
    <row r="7" spans="1:6" s="32" customFormat="1" ht="31.5" outlineLevel="1" x14ac:dyDescent="0.25">
      <c r="A7" s="43" t="s">
        <v>73</v>
      </c>
      <c r="B7" s="44" t="s">
        <v>134</v>
      </c>
      <c r="C7" s="45">
        <f>C6/100*30.2</f>
        <v>181200</v>
      </c>
      <c r="D7" s="46">
        <f>C7/12</f>
        <v>15100</v>
      </c>
      <c r="E7" s="47"/>
    </row>
    <row r="8" spans="1:6" s="32" customFormat="1" ht="15" customHeight="1" x14ac:dyDescent="0.25">
      <c r="A8" s="39" t="s">
        <v>75</v>
      </c>
      <c r="B8" s="40"/>
      <c r="C8" s="41">
        <f>C9+C10+C11+C36+C12</f>
        <v>1686000</v>
      </c>
      <c r="D8" s="40"/>
      <c r="E8" s="40"/>
    </row>
    <row r="9" spans="1:6" s="32" customFormat="1" ht="15.75" outlineLevel="1" x14ac:dyDescent="0.25">
      <c r="A9" s="48" t="s">
        <v>10</v>
      </c>
      <c r="B9" s="44" t="s">
        <v>11</v>
      </c>
      <c r="C9" s="45">
        <v>96000</v>
      </c>
      <c r="D9" s="46">
        <f>C9/12</f>
        <v>8000</v>
      </c>
      <c r="E9" s="70" t="s">
        <v>131</v>
      </c>
    </row>
    <row r="10" spans="1:6" s="32" customFormat="1" ht="15.75" outlineLevel="1" x14ac:dyDescent="0.25">
      <c r="A10" s="48" t="s">
        <v>12</v>
      </c>
      <c r="B10" s="49" t="s">
        <v>13</v>
      </c>
      <c r="C10" s="50">
        <f>30000*12</f>
        <v>360000</v>
      </c>
      <c r="D10" s="46">
        <f>C10/12</f>
        <v>30000</v>
      </c>
      <c r="E10" s="70" t="s">
        <v>131</v>
      </c>
    </row>
    <row r="11" spans="1:6" s="32" customFormat="1" ht="64.900000000000006" customHeight="1" outlineLevel="1" x14ac:dyDescent="0.25">
      <c r="A11" s="48" t="s">
        <v>116</v>
      </c>
      <c r="B11" s="44" t="s">
        <v>169</v>
      </c>
      <c r="C11" s="51">
        <v>312000</v>
      </c>
      <c r="D11" s="46">
        <f>C11/6</f>
        <v>52000</v>
      </c>
      <c r="E11" s="70" t="s">
        <v>131</v>
      </c>
    </row>
    <row r="12" spans="1:6" s="32" customFormat="1" ht="78.75" outlineLevel="1" x14ac:dyDescent="0.25">
      <c r="A12" s="48" t="s">
        <v>59</v>
      </c>
      <c r="B12" s="44" t="s">
        <v>96</v>
      </c>
      <c r="C12" s="51">
        <f>3000*(366-31-29)</f>
        <v>918000</v>
      </c>
      <c r="D12" s="46">
        <f>C12/12</f>
        <v>76500</v>
      </c>
      <c r="E12" s="52" t="s">
        <v>170</v>
      </c>
      <c r="F12" s="79">
        <f>D12/2</f>
        <v>38250</v>
      </c>
    </row>
    <row r="13" spans="1:6" s="32" customFormat="1" ht="15" customHeight="1" x14ac:dyDescent="0.25">
      <c r="A13" s="39" t="s">
        <v>6</v>
      </c>
      <c r="B13" s="40"/>
      <c r="C13" s="41">
        <f>SUM(C14:C17)</f>
        <v>1630121.32</v>
      </c>
      <c r="D13" s="40"/>
      <c r="E13" s="40"/>
    </row>
    <row r="14" spans="1:6" s="32" customFormat="1" ht="37.5" outlineLevel="1" x14ac:dyDescent="0.25">
      <c r="A14" s="69" t="s">
        <v>118</v>
      </c>
      <c r="B14" s="54"/>
      <c r="C14" s="51">
        <f>407530.33</f>
        <v>407530.33</v>
      </c>
      <c r="D14" s="46"/>
      <c r="E14" s="52"/>
    </row>
    <row r="15" spans="1:6" s="32" customFormat="1" ht="37.5" outlineLevel="1" x14ac:dyDescent="0.25">
      <c r="A15" s="69" t="s">
        <v>119</v>
      </c>
      <c r="B15" s="54"/>
      <c r="C15" s="51">
        <f t="shared" ref="C15:C17" si="0">407530.33</f>
        <v>407530.33</v>
      </c>
      <c r="D15" s="46"/>
      <c r="E15" s="52"/>
    </row>
    <row r="16" spans="1:6" s="32" customFormat="1" ht="37.5" outlineLevel="1" x14ac:dyDescent="0.25">
      <c r="A16" s="69" t="s">
        <v>120</v>
      </c>
      <c r="B16" s="54"/>
      <c r="C16" s="51">
        <f t="shared" si="0"/>
        <v>407530.33</v>
      </c>
      <c r="D16" s="46"/>
      <c r="E16" s="52"/>
    </row>
    <row r="17" spans="1:6" s="32" customFormat="1" ht="37.5" outlineLevel="1" x14ac:dyDescent="0.25">
      <c r="A17" s="69" t="s">
        <v>121</v>
      </c>
      <c r="B17" s="54"/>
      <c r="C17" s="51">
        <f t="shared" si="0"/>
        <v>407530.33</v>
      </c>
      <c r="D17" s="46"/>
      <c r="E17" s="52"/>
    </row>
    <row r="18" spans="1:6" s="32" customFormat="1" ht="15" customHeight="1" x14ac:dyDescent="0.25">
      <c r="A18" s="39" t="s">
        <v>77</v>
      </c>
      <c r="B18" s="40"/>
      <c r="C18" s="41">
        <f>C19+C20</f>
        <v>79000</v>
      </c>
      <c r="D18" s="40"/>
      <c r="E18" s="40"/>
    </row>
    <row r="19" spans="1:6" s="32" customFormat="1" ht="15.75" outlineLevel="1" x14ac:dyDescent="0.25">
      <c r="A19" s="48" t="s">
        <v>8</v>
      </c>
      <c r="B19" s="55" t="s">
        <v>136</v>
      </c>
      <c r="C19" s="46">
        <v>70000</v>
      </c>
      <c r="D19" s="46"/>
      <c r="E19" s="70" t="s">
        <v>133</v>
      </c>
    </row>
    <row r="20" spans="1:6" s="32" customFormat="1" ht="15.75" outlineLevel="1" x14ac:dyDescent="0.25">
      <c r="A20" s="48" t="s">
        <v>9</v>
      </c>
      <c r="B20" s="44" t="s">
        <v>135</v>
      </c>
      <c r="C20" s="45">
        <v>9000</v>
      </c>
      <c r="D20" s="46"/>
      <c r="E20" s="70" t="s">
        <v>132</v>
      </c>
    </row>
    <row r="21" spans="1:6" s="32" customFormat="1" ht="15" customHeight="1" x14ac:dyDescent="0.25">
      <c r="A21" s="39" t="s">
        <v>78</v>
      </c>
      <c r="B21" s="40"/>
      <c r="C21" s="41">
        <f>C22+C23+C24+C25+C26+C27+C28+C29</f>
        <v>695200</v>
      </c>
      <c r="D21" s="40"/>
      <c r="E21" s="40"/>
    </row>
    <row r="22" spans="1:6" s="32" customFormat="1" ht="157.5" outlineLevel="1" x14ac:dyDescent="0.25">
      <c r="A22" s="53" t="s">
        <v>76</v>
      </c>
      <c r="B22" s="56" t="s">
        <v>89</v>
      </c>
      <c r="C22" s="57"/>
      <c r="D22" s="46"/>
      <c r="E22" s="52" t="s">
        <v>127</v>
      </c>
      <c r="F22" s="80" t="s">
        <v>143</v>
      </c>
    </row>
    <row r="23" spans="1:6" s="32" customFormat="1" ht="31.5" outlineLevel="1" x14ac:dyDescent="0.25">
      <c r="A23" s="48" t="s">
        <v>30</v>
      </c>
      <c r="B23" s="49" t="s">
        <v>31</v>
      </c>
      <c r="C23" s="50">
        <f>5000+6000</f>
        <v>11000</v>
      </c>
      <c r="D23" s="46">
        <f t="shared" ref="D23:D27" si="1">C23/12</f>
        <v>916.66666666666663</v>
      </c>
      <c r="E23" s="52" t="s">
        <v>109</v>
      </c>
    </row>
    <row r="24" spans="1:6" s="32" customFormat="1" ht="110.25" outlineLevel="1" x14ac:dyDescent="0.25">
      <c r="A24" s="48" t="s">
        <v>30</v>
      </c>
      <c r="B24" s="58" t="s">
        <v>32</v>
      </c>
      <c r="C24" s="50">
        <f>3*12*9500</f>
        <v>342000</v>
      </c>
      <c r="D24" s="46">
        <f t="shared" si="1"/>
        <v>28500</v>
      </c>
      <c r="E24" s="52" t="s">
        <v>171</v>
      </c>
    </row>
    <row r="25" spans="1:6" s="32" customFormat="1" ht="31.5" outlineLevel="1" x14ac:dyDescent="0.25">
      <c r="A25" s="48" t="s">
        <v>30</v>
      </c>
      <c r="B25" s="49" t="s">
        <v>129</v>
      </c>
      <c r="C25" s="51">
        <f>450*12+200*12+200*12</f>
        <v>10200</v>
      </c>
      <c r="D25" s="46">
        <f>C25/12</f>
        <v>850</v>
      </c>
      <c r="E25" s="52" t="s">
        <v>128</v>
      </c>
    </row>
    <row r="26" spans="1:6" s="32" customFormat="1" ht="105" outlineLevel="1" x14ac:dyDescent="0.25">
      <c r="A26" s="48" t="s">
        <v>30</v>
      </c>
      <c r="B26" s="49" t="s">
        <v>34</v>
      </c>
      <c r="C26" s="50">
        <f>22500*10</f>
        <v>225000</v>
      </c>
      <c r="D26" s="46">
        <f>C26/12</f>
        <v>18750</v>
      </c>
      <c r="E26" s="52" t="s">
        <v>111</v>
      </c>
      <c r="F26" s="80" t="s">
        <v>153</v>
      </c>
    </row>
    <row r="27" spans="1:6" s="32" customFormat="1" ht="31.5" outlineLevel="1" x14ac:dyDescent="0.25">
      <c r="A27" s="48" t="s">
        <v>90</v>
      </c>
      <c r="B27" s="44" t="s">
        <v>58</v>
      </c>
      <c r="C27" s="45">
        <f>7500*12</f>
        <v>90000</v>
      </c>
      <c r="D27" s="46">
        <f t="shared" si="1"/>
        <v>7500</v>
      </c>
      <c r="E27" s="47" t="s">
        <v>91</v>
      </c>
    </row>
    <row r="28" spans="1:6" s="32" customFormat="1" ht="94.5" outlineLevel="1" x14ac:dyDescent="0.25">
      <c r="A28" s="48" t="s">
        <v>92</v>
      </c>
      <c r="B28" s="58" t="s">
        <v>60</v>
      </c>
      <c r="C28" s="50"/>
      <c r="D28" s="46"/>
      <c r="E28" s="47" t="s">
        <v>172</v>
      </c>
      <c r="F28" s="81" t="s">
        <v>144</v>
      </c>
    </row>
    <row r="29" spans="1:6" s="32" customFormat="1" ht="78.75" outlineLevel="1" x14ac:dyDescent="0.25">
      <c r="A29" s="48" t="s">
        <v>130</v>
      </c>
      <c r="B29" s="48" t="s">
        <v>173</v>
      </c>
      <c r="C29" s="50">
        <v>17000</v>
      </c>
      <c r="D29" s="46"/>
      <c r="E29" s="47" t="s">
        <v>174</v>
      </c>
    </row>
    <row r="30" spans="1:6" s="32" customFormat="1" ht="15" customHeight="1" x14ac:dyDescent="0.25">
      <c r="A30" s="39" t="s">
        <v>80</v>
      </c>
      <c r="B30" s="40"/>
      <c r="C30" s="41">
        <f>C31+C32+C33+C34+C36</f>
        <v>160000</v>
      </c>
      <c r="D30" s="40"/>
      <c r="E30" s="40"/>
    </row>
    <row r="31" spans="1:6" s="32" customFormat="1" ht="31.5" outlineLevel="1" x14ac:dyDescent="0.25">
      <c r="A31" s="48" t="s">
        <v>20</v>
      </c>
      <c r="B31" s="59" t="s">
        <v>45</v>
      </c>
      <c r="C31" s="50"/>
      <c r="D31" s="46"/>
      <c r="E31" s="47" t="s">
        <v>154</v>
      </c>
      <c r="F31" s="82"/>
    </row>
    <row r="32" spans="1:6" s="32" customFormat="1" ht="63" outlineLevel="1" x14ac:dyDescent="0.25">
      <c r="A32" s="53" t="s">
        <v>47</v>
      </c>
      <c r="B32" s="49" t="s">
        <v>122</v>
      </c>
      <c r="C32" s="50">
        <v>150000</v>
      </c>
      <c r="D32" s="46"/>
      <c r="E32" s="47" t="s">
        <v>112</v>
      </c>
    </row>
    <row r="33" spans="1:6" s="32" customFormat="1" ht="15.75" outlineLevel="1" x14ac:dyDescent="0.25">
      <c r="A33" s="48" t="s">
        <v>20</v>
      </c>
      <c r="B33" s="60" t="s">
        <v>44</v>
      </c>
      <c r="C33" s="61"/>
      <c r="D33" s="46"/>
      <c r="E33" s="62" t="s">
        <v>94</v>
      </c>
    </row>
    <row r="34" spans="1:6" s="32" customFormat="1" ht="204.75" outlineLevel="1" x14ac:dyDescent="0.25">
      <c r="A34" s="48" t="s">
        <v>20</v>
      </c>
      <c r="B34" s="49" t="s">
        <v>24</v>
      </c>
      <c r="C34" s="50">
        <v>10000</v>
      </c>
      <c r="D34" s="46"/>
      <c r="E34" s="62" t="s">
        <v>155</v>
      </c>
      <c r="F34" s="83" t="s">
        <v>142</v>
      </c>
    </row>
    <row r="35" spans="1:6" s="32" customFormat="1" ht="31.5" outlineLevel="1" x14ac:dyDescent="0.25">
      <c r="A35" s="48" t="s">
        <v>20</v>
      </c>
      <c r="B35" s="49" t="s">
        <v>182</v>
      </c>
      <c r="C35" s="50">
        <v>10000</v>
      </c>
      <c r="D35" s="46"/>
      <c r="E35" s="62" t="s">
        <v>183</v>
      </c>
      <c r="F35" s="83"/>
    </row>
    <row r="36" spans="1:6" s="32" customFormat="1" ht="31.5" outlineLevel="1" x14ac:dyDescent="0.25">
      <c r="A36" s="48" t="s">
        <v>20</v>
      </c>
      <c r="B36" s="56" t="s">
        <v>95</v>
      </c>
      <c r="C36" s="61"/>
      <c r="D36" s="46"/>
      <c r="E36" s="62" t="s">
        <v>110</v>
      </c>
    </row>
    <row r="37" spans="1:6" s="32" customFormat="1" ht="15" customHeight="1" x14ac:dyDescent="0.25">
      <c r="A37" s="39" t="s">
        <v>81</v>
      </c>
      <c r="B37" s="40"/>
      <c r="C37" s="41">
        <f>SUM(C38:C43)</f>
        <v>185000</v>
      </c>
      <c r="D37" s="40"/>
      <c r="E37" s="40"/>
    </row>
    <row r="38" spans="1:6" s="32" customFormat="1" ht="47.25" outlineLevel="1" x14ac:dyDescent="0.25">
      <c r="A38" s="48" t="s">
        <v>97</v>
      </c>
      <c r="B38" s="49" t="s">
        <v>88</v>
      </c>
      <c r="C38" s="51"/>
      <c r="D38" s="46"/>
      <c r="E38" s="52" t="s">
        <v>156</v>
      </c>
    </row>
    <row r="39" spans="1:6" s="32" customFormat="1" ht="47.25" outlineLevel="1" x14ac:dyDescent="0.25">
      <c r="A39" s="48" t="s">
        <v>97</v>
      </c>
      <c r="B39" s="44" t="s">
        <v>26</v>
      </c>
      <c r="C39" s="51">
        <v>20000</v>
      </c>
      <c r="D39" s="46"/>
      <c r="E39" s="52" t="s">
        <v>98</v>
      </c>
    </row>
    <row r="40" spans="1:6" s="32" customFormat="1" ht="141.75" outlineLevel="1" x14ac:dyDescent="0.25">
      <c r="A40" s="48" t="s">
        <v>97</v>
      </c>
      <c r="B40" s="49" t="s">
        <v>99</v>
      </c>
      <c r="C40" s="51">
        <v>25000</v>
      </c>
      <c r="D40" s="46" t="s">
        <v>184</v>
      </c>
      <c r="E40" s="52" t="s">
        <v>113</v>
      </c>
      <c r="F40" s="84" t="s">
        <v>149</v>
      </c>
    </row>
    <row r="41" spans="1:6" s="32" customFormat="1" ht="81.75" outlineLevel="1" x14ac:dyDescent="0.25">
      <c r="A41" s="48" t="s">
        <v>97</v>
      </c>
      <c r="B41" s="59" t="s">
        <v>57</v>
      </c>
      <c r="C41" s="50"/>
      <c r="D41" s="46"/>
      <c r="E41" s="52" t="s">
        <v>117</v>
      </c>
    </row>
    <row r="42" spans="1:6" s="32" customFormat="1" ht="47.25" outlineLevel="1" x14ac:dyDescent="0.25">
      <c r="A42" s="48" t="s">
        <v>97</v>
      </c>
      <c r="B42" s="49" t="s">
        <v>167</v>
      </c>
      <c r="C42" s="50">
        <v>50000</v>
      </c>
      <c r="D42" s="46"/>
      <c r="E42" s="52" t="s">
        <v>168</v>
      </c>
    </row>
    <row r="43" spans="1:6" s="32" customFormat="1" ht="31.5" outlineLevel="1" x14ac:dyDescent="0.25">
      <c r="A43" s="53" t="s">
        <v>25</v>
      </c>
      <c r="B43" s="49" t="s">
        <v>180</v>
      </c>
      <c r="C43" s="50">
        <v>90000</v>
      </c>
      <c r="D43" s="46"/>
      <c r="E43" s="52" t="s">
        <v>181</v>
      </c>
    </row>
    <row r="44" spans="1:6" s="32" customFormat="1" ht="15" customHeight="1" x14ac:dyDescent="0.25">
      <c r="A44" s="39" t="s">
        <v>79</v>
      </c>
      <c r="B44" s="40"/>
      <c r="C44" s="41">
        <f>C45+C46</f>
        <v>24000</v>
      </c>
      <c r="D44" s="40"/>
      <c r="E44" s="40"/>
    </row>
    <row r="45" spans="1:6" s="33" customFormat="1" ht="141.75" outlineLevel="1" x14ac:dyDescent="0.25">
      <c r="A45" s="43" t="s">
        <v>115</v>
      </c>
      <c r="B45" s="63" t="s">
        <v>114</v>
      </c>
      <c r="C45" s="64"/>
      <c r="D45" s="63"/>
      <c r="E45" s="43" t="s">
        <v>157</v>
      </c>
      <c r="F45" s="85" t="s">
        <v>150</v>
      </c>
    </row>
    <row r="46" spans="1:6" s="32" customFormat="1" ht="78.75" outlineLevel="1" x14ac:dyDescent="0.25">
      <c r="A46" s="48" t="s">
        <v>123</v>
      </c>
      <c r="B46" s="65" t="s">
        <v>93</v>
      </c>
      <c r="C46" s="46">
        <v>24000</v>
      </c>
      <c r="D46" s="46"/>
      <c r="E46" s="47" t="s">
        <v>175</v>
      </c>
    </row>
    <row r="47" spans="1:6" s="32" customFormat="1" ht="47.25" outlineLevel="1" x14ac:dyDescent="0.25">
      <c r="A47" s="48" t="s">
        <v>177</v>
      </c>
      <c r="B47" s="65" t="s">
        <v>178</v>
      </c>
      <c r="C47" s="46">
        <f>12*1000</f>
        <v>12000</v>
      </c>
      <c r="D47" s="46"/>
      <c r="E47" s="47" t="s">
        <v>179</v>
      </c>
    </row>
    <row r="48" spans="1:6" s="32" customFormat="1" ht="94.5" outlineLevel="1" x14ac:dyDescent="0.25">
      <c r="A48" s="48" t="s">
        <v>177</v>
      </c>
      <c r="B48" s="65"/>
      <c r="C48" s="46"/>
      <c r="D48" s="46"/>
      <c r="E48" s="47" t="s">
        <v>176</v>
      </c>
    </row>
    <row r="49" spans="1:5" s="32" customFormat="1" ht="15" customHeight="1" x14ac:dyDescent="0.25">
      <c r="A49" s="39" t="s">
        <v>82</v>
      </c>
      <c r="B49" s="40"/>
      <c r="C49" s="41">
        <f>C50+C51+C52</f>
        <v>56000</v>
      </c>
      <c r="D49" s="40"/>
      <c r="E49" s="40"/>
    </row>
    <row r="50" spans="1:5" s="32" customFormat="1" ht="47.25" outlineLevel="1" x14ac:dyDescent="0.25">
      <c r="A50" s="48" t="s">
        <v>116</v>
      </c>
      <c r="B50" s="44" t="s">
        <v>54</v>
      </c>
      <c r="C50" s="51"/>
      <c r="D50" s="46"/>
      <c r="E50" s="52" t="s">
        <v>158</v>
      </c>
    </row>
    <row r="51" spans="1:5" s="32" customFormat="1" ht="67.5" customHeight="1" outlineLevel="1" x14ac:dyDescent="0.25">
      <c r="A51" s="48" t="s">
        <v>116</v>
      </c>
      <c r="B51" s="59" t="s">
        <v>52</v>
      </c>
      <c r="C51" s="51">
        <v>50000</v>
      </c>
      <c r="D51" s="46"/>
      <c r="E51" s="52" t="s">
        <v>159</v>
      </c>
    </row>
    <row r="52" spans="1:5" s="32" customFormat="1" ht="47.25" x14ac:dyDescent="0.25">
      <c r="A52" s="48" t="s">
        <v>100</v>
      </c>
      <c r="B52" s="49" t="s">
        <v>108</v>
      </c>
      <c r="C52" s="51">
        <v>6000</v>
      </c>
      <c r="D52" s="46"/>
      <c r="E52" s="52" t="s">
        <v>107</v>
      </c>
    </row>
    <row r="53" spans="1:5" s="32" customFormat="1" ht="15.75" x14ac:dyDescent="0.25">
      <c r="A53" s="66" t="s">
        <v>35</v>
      </c>
      <c r="B53" s="67"/>
      <c r="C53" s="68">
        <f>C5+C8+C13+C18+C21+C44+C30+C37+C49</f>
        <v>5296521.32</v>
      </c>
      <c r="D53" s="68"/>
      <c r="E53" s="52"/>
    </row>
    <row r="54" spans="1:5" ht="15.75" x14ac:dyDescent="0.25">
      <c r="A54" s="1"/>
      <c r="B54" s="1"/>
      <c r="C54" s="36"/>
      <c r="D54" s="36"/>
      <c r="E54" s="30"/>
    </row>
    <row r="55" spans="1:5" ht="15.75" x14ac:dyDescent="0.25">
      <c r="A55" s="1" t="s">
        <v>161</v>
      </c>
      <c r="B55" s="1"/>
      <c r="C55" s="36"/>
      <c r="D55" s="36"/>
      <c r="E55" s="30"/>
    </row>
    <row r="56" spans="1:5" ht="15.75" x14ac:dyDescent="0.25">
      <c r="A56" s="1" t="s">
        <v>162</v>
      </c>
      <c r="B56" s="1"/>
      <c r="C56" s="36"/>
      <c r="D56" s="36"/>
      <c r="E56" s="30"/>
    </row>
    <row r="57" spans="1:5" ht="15.75" x14ac:dyDescent="0.25">
      <c r="A57" s="1" t="s">
        <v>163</v>
      </c>
      <c r="B57" s="1"/>
      <c r="C57" s="36"/>
      <c r="D57" s="36"/>
      <c r="E57" s="30"/>
    </row>
    <row r="59" spans="1:5" ht="18.75" x14ac:dyDescent="0.25">
      <c r="A59" s="92" t="s">
        <v>126</v>
      </c>
      <c r="B59" s="91">
        <f>C53</f>
        <v>5296521.32</v>
      </c>
      <c r="C59" s="74"/>
      <c r="D59" s="74"/>
    </row>
    <row r="60" spans="1:5" x14ac:dyDescent="0.25">
      <c r="A60" s="93" t="s">
        <v>124</v>
      </c>
      <c r="B60" s="73">
        <v>962</v>
      </c>
      <c r="C60" s="73" t="s">
        <v>87</v>
      </c>
      <c r="D60" s="73" t="s">
        <v>125</v>
      </c>
    </row>
    <row r="61" spans="1:5" x14ac:dyDescent="0.25">
      <c r="A61" s="94" t="s">
        <v>83</v>
      </c>
      <c r="B61" s="74">
        <v>3</v>
      </c>
      <c r="C61" s="74">
        <f>B60-B61</f>
        <v>959</v>
      </c>
      <c r="D61" s="75">
        <f>B59/C61</f>
        <v>5522.9627945776856</v>
      </c>
    </row>
    <row r="62" spans="1:5" ht="15.75" customHeight="1" x14ac:dyDescent="0.25">
      <c r="A62" s="94" t="s">
        <v>84</v>
      </c>
      <c r="B62" s="74">
        <v>2</v>
      </c>
      <c r="C62" s="74">
        <f>C61-B62</f>
        <v>957</v>
      </c>
      <c r="D62" s="75">
        <f>B59/C62</f>
        <v>5534.5050365726229</v>
      </c>
    </row>
    <row r="63" spans="1:5" x14ac:dyDescent="0.25">
      <c r="A63" s="95" t="s">
        <v>85</v>
      </c>
      <c r="B63" s="74">
        <v>135</v>
      </c>
      <c r="C63" s="74">
        <f>C62-B63</f>
        <v>822</v>
      </c>
      <c r="D63" s="75">
        <f>B59/C63</f>
        <v>6443.4565936739664</v>
      </c>
    </row>
    <row r="64" spans="1:5" ht="30" x14ac:dyDescent="0.25">
      <c r="A64" s="95" t="s">
        <v>137</v>
      </c>
      <c r="B64" s="74">
        <f>C62-C64</f>
        <v>361</v>
      </c>
      <c r="C64" s="74">
        <v>596</v>
      </c>
      <c r="D64" s="75">
        <f>B59/C64</f>
        <v>8886.7807382550345</v>
      </c>
      <c r="E64" s="90" t="s">
        <v>160</v>
      </c>
    </row>
    <row r="65" spans="1:6" ht="21" x14ac:dyDescent="0.25">
      <c r="A65" s="95" t="s">
        <v>138</v>
      </c>
      <c r="B65" s="74"/>
      <c r="C65" s="89">
        <v>700</v>
      </c>
      <c r="D65" s="75">
        <f>B59/C65</f>
        <v>7566.4590285714294</v>
      </c>
      <c r="E65" s="96">
        <f>C65-C64</f>
        <v>104</v>
      </c>
      <c r="F65" s="86" t="s">
        <v>145</v>
      </c>
    </row>
    <row r="66" spans="1:6" s="2" customFormat="1" ht="30.75" x14ac:dyDescent="0.3">
      <c r="A66" s="92" t="s">
        <v>86</v>
      </c>
      <c r="B66" s="76">
        <f>C65</f>
        <v>700</v>
      </c>
      <c r="C66" s="76"/>
      <c r="D66" s="76">
        <v>6000</v>
      </c>
      <c r="E66" s="72"/>
      <c r="F66" s="87" t="s">
        <v>148</v>
      </c>
    </row>
    <row r="67" spans="1:6" x14ac:dyDescent="0.25">
      <c r="F67" s="86" t="s">
        <v>147</v>
      </c>
    </row>
    <row r="68" spans="1:6" x14ac:dyDescent="0.25">
      <c r="A68" s="71" t="s">
        <v>139</v>
      </c>
      <c r="F68" s="88" t="s">
        <v>146</v>
      </c>
    </row>
    <row r="69" spans="1:6" s="32" customFormat="1" ht="20.25" customHeight="1" x14ac:dyDescent="0.25">
      <c r="A69" s="73" t="s">
        <v>140</v>
      </c>
      <c r="B69" s="73" t="s">
        <v>141</v>
      </c>
      <c r="C69" s="35"/>
      <c r="D69" s="35"/>
      <c r="E69" s="98"/>
      <c r="F69" s="80" t="s">
        <v>151</v>
      </c>
    </row>
    <row r="70" spans="1:6" s="32" customFormat="1" ht="20.25" customHeight="1" x14ac:dyDescent="0.25">
      <c r="A70" s="74">
        <v>2022</v>
      </c>
      <c r="B70" s="74">
        <v>620</v>
      </c>
      <c r="C70" s="97" t="s">
        <v>164</v>
      </c>
      <c r="D70" s="35"/>
      <c r="E70" s="98"/>
    </row>
    <row r="71" spans="1:6" s="32" customFormat="1" ht="20.25" customHeight="1" x14ac:dyDescent="0.25">
      <c r="A71" s="74">
        <v>2023</v>
      </c>
      <c r="B71" s="74">
        <f>587+9</f>
        <v>596</v>
      </c>
      <c r="C71" s="97" t="s">
        <v>165</v>
      </c>
      <c r="D71" s="35"/>
      <c r="E71" s="98"/>
    </row>
  </sheetData>
  <pageMargins left="0.70866141732283472" right="0.70866141732283472" top="0.74803149606299213" bottom="0.74803149606299213" header="0.31496062992125984" footer="0.31496062992125984"/>
  <pageSetup paperSize="9" scale="50" fitToHeight="6" orientation="portrait" r:id="rId1"/>
  <headerFooter>
    <oddHeader>&amp;R&amp;"Calibri"&amp;8&amp;K000000 INTERNAL&amp;1#_x000D_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71"/>
  <sheetViews>
    <sheetView tabSelected="1" workbookViewId="0">
      <selection activeCell="C8" sqref="C8"/>
    </sheetView>
  </sheetViews>
  <sheetFormatPr defaultColWidth="9.140625" defaultRowHeight="15" outlineLevelRow="1" outlineLevelCol="1" x14ac:dyDescent="0.25"/>
  <cols>
    <col min="1" max="1" width="31.140625" customWidth="1"/>
    <col min="2" max="2" width="30.85546875" customWidth="1"/>
    <col min="3" max="3" width="18.85546875" style="35" customWidth="1"/>
    <col min="4" max="4" width="27.42578125" style="35" customWidth="1"/>
    <col min="5" max="5" width="63.85546875" style="31" customWidth="1"/>
    <col min="6" max="6" width="92.5703125" hidden="1" customWidth="1" outlineLevel="1"/>
    <col min="7" max="7" width="9.140625" collapsed="1"/>
  </cols>
  <sheetData>
    <row r="1" spans="1:6" ht="18.75" x14ac:dyDescent="0.3">
      <c r="A1" s="1"/>
      <c r="B1" s="2"/>
      <c r="C1" s="34" t="s">
        <v>106</v>
      </c>
      <c r="E1" s="30"/>
    </row>
    <row r="2" spans="1:6" ht="15.75" x14ac:dyDescent="0.25">
      <c r="A2" s="1"/>
      <c r="B2" s="1"/>
      <c r="C2" s="77">
        <v>45380</v>
      </c>
      <c r="D2" s="36"/>
      <c r="E2" s="30"/>
    </row>
    <row r="3" spans="1:6" ht="15.75" x14ac:dyDescent="0.25">
      <c r="A3" s="3"/>
      <c r="B3" s="1"/>
      <c r="C3" s="36"/>
      <c r="D3" s="37"/>
      <c r="E3" s="30"/>
    </row>
    <row r="4" spans="1:6" s="32" customFormat="1" ht="31.5" x14ac:dyDescent="0.25">
      <c r="A4" s="38" t="s">
        <v>102</v>
      </c>
      <c r="B4" s="38" t="s">
        <v>103</v>
      </c>
      <c r="C4" s="38" t="s">
        <v>104</v>
      </c>
      <c r="D4" s="38" t="s">
        <v>105</v>
      </c>
      <c r="E4" s="38" t="s">
        <v>101</v>
      </c>
      <c r="F4" s="78" t="s">
        <v>152</v>
      </c>
    </row>
    <row r="5" spans="1:6" s="32" customFormat="1" ht="15" customHeight="1" x14ac:dyDescent="0.25">
      <c r="A5" s="39" t="s">
        <v>74</v>
      </c>
      <c r="B5" s="40"/>
      <c r="C5" s="41">
        <f>C6+C7</f>
        <v>781200</v>
      </c>
      <c r="D5" s="42">
        <f>D6+D7</f>
        <v>65100</v>
      </c>
      <c r="E5" s="40"/>
    </row>
    <row r="6" spans="1:6" s="32" customFormat="1" ht="15.75" outlineLevel="1" x14ac:dyDescent="0.25">
      <c r="A6" s="43" t="s">
        <v>4</v>
      </c>
      <c r="B6" s="44" t="s">
        <v>134</v>
      </c>
      <c r="C6" s="45">
        <f>D6*12</f>
        <v>600000</v>
      </c>
      <c r="D6" s="46">
        <v>50000</v>
      </c>
      <c r="E6" s="47"/>
    </row>
    <row r="7" spans="1:6" s="32" customFormat="1" ht="31.5" outlineLevel="1" x14ac:dyDescent="0.25">
      <c r="A7" s="43" t="s">
        <v>73</v>
      </c>
      <c r="B7" s="44" t="s">
        <v>134</v>
      </c>
      <c r="C7" s="45">
        <f>C6/100*30.2</f>
        <v>181200</v>
      </c>
      <c r="D7" s="46">
        <f>C7/12</f>
        <v>15100</v>
      </c>
      <c r="E7" s="47"/>
    </row>
    <row r="8" spans="1:6" s="32" customFormat="1" ht="15" customHeight="1" x14ac:dyDescent="0.25">
      <c r="A8" s="39" t="s">
        <v>75</v>
      </c>
      <c r="B8" s="40"/>
      <c r="C8" s="41">
        <f>C9+C10+C11+C36+C12</f>
        <v>1686000</v>
      </c>
      <c r="D8" s="40"/>
      <c r="E8" s="40"/>
    </row>
    <row r="9" spans="1:6" s="32" customFormat="1" ht="15.75" outlineLevel="1" x14ac:dyDescent="0.25">
      <c r="A9" s="48" t="s">
        <v>10</v>
      </c>
      <c r="B9" s="44" t="s">
        <v>11</v>
      </c>
      <c r="C9" s="45">
        <v>96000</v>
      </c>
      <c r="D9" s="46">
        <f>C9/12</f>
        <v>8000</v>
      </c>
      <c r="E9" s="70" t="s">
        <v>131</v>
      </c>
    </row>
    <row r="10" spans="1:6" s="32" customFormat="1" ht="15.75" outlineLevel="1" x14ac:dyDescent="0.25">
      <c r="A10" s="48" t="s">
        <v>12</v>
      </c>
      <c r="B10" s="49" t="s">
        <v>13</v>
      </c>
      <c r="C10" s="50">
        <f>30000*12</f>
        <v>360000</v>
      </c>
      <c r="D10" s="46">
        <f>C10/12</f>
        <v>30000</v>
      </c>
      <c r="E10" s="70" t="s">
        <v>131</v>
      </c>
    </row>
    <row r="11" spans="1:6" s="32" customFormat="1" ht="64.900000000000006" customHeight="1" outlineLevel="1" x14ac:dyDescent="0.25">
      <c r="A11" s="48" t="s">
        <v>116</v>
      </c>
      <c r="B11" s="44" t="s">
        <v>169</v>
      </c>
      <c r="C11" s="51">
        <v>312000</v>
      </c>
      <c r="D11" s="46">
        <f>C11/6</f>
        <v>52000</v>
      </c>
      <c r="E11" s="70" t="s">
        <v>131</v>
      </c>
    </row>
    <row r="12" spans="1:6" s="32" customFormat="1" ht="78.75" outlineLevel="1" x14ac:dyDescent="0.25">
      <c r="A12" s="48" t="s">
        <v>59</v>
      </c>
      <c r="B12" s="44" t="s">
        <v>96</v>
      </c>
      <c r="C12" s="51">
        <f>3000*(366-31-29)</f>
        <v>918000</v>
      </c>
      <c r="D12" s="46">
        <f>C12/12</f>
        <v>76500</v>
      </c>
      <c r="E12" s="52" t="s">
        <v>170</v>
      </c>
      <c r="F12" s="79">
        <f>D12/2</f>
        <v>38250</v>
      </c>
    </row>
    <row r="13" spans="1:6" s="32" customFormat="1" ht="15" customHeight="1" x14ac:dyDescent="0.25">
      <c r="A13" s="39" t="s">
        <v>6</v>
      </c>
      <c r="B13" s="40"/>
      <c r="C13" s="41">
        <f>SUM(C14:C17)</f>
        <v>1630121.32</v>
      </c>
      <c r="D13" s="40"/>
      <c r="E13" s="40"/>
    </row>
    <row r="14" spans="1:6" s="32" customFormat="1" ht="37.5" outlineLevel="1" x14ac:dyDescent="0.25">
      <c r="A14" s="69" t="s">
        <v>118</v>
      </c>
      <c r="B14" s="54"/>
      <c r="C14" s="51">
        <f>407530.33</f>
        <v>407530.33</v>
      </c>
      <c r="D14" s="46"/>
      <c r="E14" s="52"/>
    </row>
    <row r="15" spans="1:6" s="32" customFormat="1" ht="37.5" outlineLevel="1" x14ac:dyDescent="0.25">
      <c r="A15" s="69" t="s">
        <v>119</v>
      </c>
      <c r="B15" s="54"/>
      <c r="C15" s="51">
        <f t="shared" ref="C15:C17" si="0">407530.33</f>
        <v>407530.33</v>
      </c>
      <c r="D15" s="46"/>
      <c r="E15" s="52"/>
    </row>
    <row r="16" spans="1:6" s="32" customFormat="1" ht="37.5" outlineLevel="1" x14ac:dyDescent="0.25">
      <c r="A16" s="69" t="s">
        <v>120</v>
      </c>
      <c r="B16" s="54"/>
      <c r="C16" s="51">
        <f t="shared" si="0"/>
        <v>407530.33</v>
      </c>
      <c r="D16" s="46"/>
      <c r="E16" s="52"/>
    </row>
    <row r="17" spans="1:6" s="32" customFormat="1" ht="37.5" outlineLevel="1" x14ac:dyDescent="0.25">
      <c r="A17" s="69" t="s">
        <v>121</v>
      </c>
      <c r="B17" s="54"/>
      <c r="C17" s="51">
        <f t="shared" si="0"/>
        <v>407530.33</v>
      </c>
      <c r="D17" s="46"/>
      <c r="E17" s="52"/>
    </row>
    <row r="18" spans="1:6" s="32" customFormat="1" ht="15" customHeight="1" x14ac:dyDescent="0.25">
      <c r="A18" s="39" t="s">
        <v>77</v>
      </c>
      <c r="B18" s="40"/>
      <c r="C18" s="41">
        <f>C19+C20</f>
        <v>79000</v>
      </c>
      <c r="D18" s="40"/>
      <c r="E18" s="40"/>
    </row>
    <row r="19" spans="1:6" s="32" customFormat="1" ht="15.75" outlineLevel="1" x14ac:dyDescent="0.25">
      <c r="A19" s="48" t="s">
        <v>8</v>
      </c>
      <c r="B19" s="55" t="s">
        <v>136</v>
      </c>
      <c r="C19" s="46">
        <v>70000</v>
      </c>
      <c r="D19" s="46"/>
      <c r="E19" s="70" t="s">
        <v>133</v>
      </c>
    </row>
    <row r="20" spans="1:6" s="32" customFormat="1" ht="15.75" outlineLevel="1" x14ac:dyDescent="0.25">
      <c r="A20" s="48" t="s">
        <v>9</v>
      </c>
      <c r="B20" s="44" t="s">
        <v>135</v>
      </c>
      <c r="C20" s="45">
        <v>9000</v>
      </c>
      <c r="D20" s="46"/>
      <c r="E20" s="70" t="s">
        <v>132</v>
      </c>
    </row>
    <row r="21" spans="1:6" s="32" customFormat="1" ht="15" customHeight="1" x14ac:dyDescent="0.25">
      <c r="A21" s="39" t="s">
        <v>78</v>
      </c>
      <c r="B21" s="40"/>
      <c r="C21" s="41">
        <f>C22+C23+C24+C25+C26+C27+C28+C29</f>
        <v>1613099.3333333333</v>
      </c>
      <c r="D21" s="40"/>
      <c r="E21" s="40"/>
    </row>
    <row r="22" spans="1:6" s="32" customFormat="1" ht="157.5" outlineLevel="1" x14ac:dyDescent="0.25">
      <c r="A22" s="53" t="s">
        <v>76</v>
      </c>
      <c r="B22" s="56" t="s">
        <v>89</v>
      </c>
      <c r="C22" s="57">
        <f>820/30*22000</f>
        <v>601333.33333333326</v>
      </c>
      <c r="D22" s="46"/>
      <c r="E22" s="52" t="s">
        <v>127</v>
      </c>
      <c r="F22" s="80" t="s">
        <v>143</v>
      </c>
    </row>
    <row r="23" spans="1:6" s="32" customFormat="1" ht="31.5" outlineLevel="1" x14ac:dyDescent="0.25">
      <c r="A23" s="48" t="s">
        <v>30</v>
      </c>
      <c r="B23" s="49" t="s">
        <v>31</v>
      </c>
      <c r="C23" s="50">
        <f>5000+6000</f>
        <v>11000</v>
      </c>
      <c r="D23" s="46">
        <f t="shared" ref="D23:D27" si="1">C23/12</f>
        <v>916.66666666666663</v>
      </c>
      <c r="E23" s="52" t="s">
        <v>109</v>
      </c>
    </row>
    <row r="24" spans="1:6" s="32" customFormat="1" ht="110.25" outlineLevel="1" x14ac:dyDescent="0.25">
      <c r="A24" s="48" t="s">
        <v>30</v>
      </c>
      <c r="B24" s="58" t="s">
        <v>32</v>
      </c>
      <c r="C24" s="50">
        <f>3*12*9500</f>
        <v>342000</v>
      </c>
      <c r="D24" s="46">
        <f t="shared" si="1"/>
        <v>28500</v>
      </c>
      <c r="E24" s="52" t="s">
        <v>171</v>
      </c>
    </row>
    <row r="25" spans="1:6" s="32" customFormat="1" ht="31.5" outlineLevel="1" x14ac:dyDescent="0.25">
      <c r="A25" s="48" t="s">
        <v>30</v>
      </c>
      <c r="B25" s="49" t="s">
        <v>129</v>
      </c>
      <c r="C25" s="51">
        <f>450*12+200*12+200*12</f>
        <v>10200</v>
      </c>
      <c r="D25" s="46">
        <f>C25/12</f>
        <v>850</v>
      </c>
      <c r="E25" s="52" t="s">
        <v>128</v>
      </c>
    </row>
    <row r="26" spans="1:6" s="32" customFormat="1" ht="105" outlineLevel="1" x14ac:dyDescent="0.25">
      <c r="A26" s="48" t="s">
        <v>30</v>
      </c>
      <c r="B26" s="49" t="s">
        <v>34</v>
      </c>
      <c r="C26" s="50">
        <f>22500*10</f>
        <v>225000</v>
      </c>
      <c r="D26" s="46">
        <f>C26/12</f>
        <v>18750</v>
      </c>
      <c r="E26" s="52" t="s">
        <v>111</v>
      </c>
      <c r="F26" s="80" t="s">
        <v>153</v>
      </c>
    </row>
    <row r="27" spans="1:6" s="32" customFormat="1" ht="31.5" outlineLevel="1" x14ac:dyDescent="0.25">
      <c r="A27" s="48" t="s">
        <v>90</v>
      </c>
      <c r="B27" s="44" t="s">
        <v>58</v>
      </c>
      <c r="C27" s="45">
        <f>7500*12</f>
        <v>90000</v>
      </c>
      <c r="D27" s="46">
        <f t="shared" si="1"/>
        <v>7500</v>
      </c>
      <c r="E27" s="47" t="s">
        <v>91</v>
      </c>
    </row>
    <row r="28" spans="1:6" s="32" customFormat="1" ht="94.5" outlineLevel="1" x14ac:dyDescent="0.25">
      <c r="A28" s="48" t="s">
        <v>92</v>
      </c>
      <c r="B28" s="58" t="s">
        <v>60</v>
      </c>
      <c r="C28" s="50">
        <v>316566</v>
      </c>
      <c r="D28" s="46"/>
      <c r="E28" s="47" t="s">
        <v>172</v>
      </c>
      <c r="F28" s="81" t="s">
        <v>144</v>
      </c>
    </row>
    <row r="29" spans="1:6" s="32" customFormat="1" ht="78.75" outlineLevel="1" x14ac:dyDescent="0.25">
      <c r="A29" s="48" t="s">
        <v>130</v>
      </c>
      <c r="B29" s="48" t="s">
        <v>173</v>
      </c>
      <c r="C29" s="50">
        <v>17000</v>
      </c>
      <c r="D29" s="46"/>
      <c r="E29" s="47" t="s">
        <v>174</v>
      </c>
    </row>
    <row r="30" spans="1:6" s="32" customFormat="1" ht="15" customHeight="1" x14ac:dyDescent="0.25">
      <c r="A30" s="39" t="s">
        <v>80</v>
      </c>
      <c r="B30" s="40"/>
      <c r="C30" s="41">
        <f>C31+C32+C33+C34+C36</f>
        <v>400000</v>
      </c>
      <c r="D30" s="40"/>
      <c r="E30" s="40"/>
    </row>
    <row r="31" spans="1:6" s="32" customFormat="1" ht="31.5" outlineLevel="1" x14ac:dyDescent="0.25">
      <c r="A31" s="48" t="s">
        <v>20</v>
      </c>
      <c r="B31" s="59" t="s">
        <v>45</v>
      </c>
      <c r="C31" s="50"/>
      <c r="D31" s="46"/>
      <c r="E31" s="47" t="s">
        <v>154</v>
      </c>
      <c r="F31" s="82"/>
    </row>
    <row r="32" spans="1:6" s="32" customFormat="1" ht="63" outlineLevel="1" x14ac:dyDescent="0.25">
      <c r="A32" s="53" t="s">
        <v>47</v>
      </c>
      <c r="B32" s="49" t="s">
        <v>122</v>
      </c>
      <c r="C32" s="50">
        <v>150000</v>
      </c>
      <c r="D32" s="46"/>
      <c r="E32" s="47" t="s">
        <v>112</v>
      </c>
    </row>
    <row r="33" spans="1:6" s="32" customFormat="1" ht="15.75" outlineLevel="1" x14ac:dyDescent="0.25">
      <c r="A33" s="48" t="s">
        <v>20</v>
      </c>
      <c r="B33" s="60" t="s">
        <v>44</v>
      </c>
      <c r="C33" s="61">
        <v>150000</v>
      </c>
      <c r="D33" s="46"/>
      <c r="E33" s="62" t="s">
        <v>94</v>
      </c>
    </row>
    <row r="34" spans="1:6" s="32" customFormat="1" ht="204.75" outlineLevel="1" x14ac:dyDescent="0.25">
      <c r="A34" s="48" t="s">
        <v>20</v>
      </c>
      <c r="B34" s="49" t="s">
        <v>24</v>
      </c>
      <c r="C34" s="50">
        <v>100000</v>
      </c>
      <c r="D34" s="46"/>
      <c r="E34" s="62" t="s">
        <v>155</v>
      </c>
      <c r="F34" s="83" t="s">
        <v>142</v>
      </c>
    </row>
    <row r="35" spans="1:6" s="32" customFormat="1" ht="31.5" outlineLevel="1" x14ac:dyDescent="0.25">
      <c r="A35" s="48" t="s">
        <v>20</v>
      </c>
      <c r="B35" s="49" t="s">
        <v>182</v>
      </c>
      <c r="C35" s="50">
        <v>10000</v>
      </c>
      <c r="D35" s="46"/>
      <c r="E35" s="62" t="s">
        <v>183</v>
      </c>
      <c r="F35" s="83"/>
    </row>
    <row r="36" spans="1:6" s="32" customFormat="1" ht="31.5" outlineLevel="1" x14ac:dyDescent="0.25">
      <c r="A36" s="48" t="s">
        <v>20</v>
      </c>
      <c r="B36" s="56" t="s">
        <v>95</v>
      </c>
      <c r="C36" s="61"/>
      <c r="D36" s="46"/>
      <c r="E36" s="62" t="s">
        <v>110</v>
      </c>
    </row>
    <row r="37" spans="1:6" s="32" customFormat="1" ht="15" customHeight="1" x14ac:dyDescent="0.25">
      <c r="A37" s="39" t="s">
        <v>81</v>
      </c>
      <c r="B37" s="40"/>
      <c r="C37" s="41">
        <f>SUM(C38:C43)</f>
        <v>404000</v>
      </c>
      <c r="D37" s="40"/>
      <c r="E37" s="40"/>
    </row>
    <row r="38" spans="1:6" s="32" customFormat="1" ht="47.25" outlineLevel="1" x14ac:dyDescent="0.25">
      <c r="A38" s="48" t="s">
        <v>97</v>
      </c>
      <c r="B38" s="49" t="s">
        <v>88</v>
      </c>
      <c r="C38" s="51">
        <f>4*12000 + 8*1500</f>
        <v>60000</v>
      </c>
      <c r="D38" s="46"/>
      <c r="E38" s="52" t="s">
        <v>156</v>
      </c>
    </row>
    <row r="39" spans="1:6" s="32" customFormat="1" ht="47.25" outlineLevel="1" x14ac:dyDescent="0.25">
      <c r="A39" s="48" t="s">
        <v>97</v>
      </c>
      <c r="B39" s="44" t="s">
        <v>26</v>
      </c>
      <c r="C39" s="51">
        <v>20000</v>
      </c>
      <c r="D39" s="46"/>
      <c r="E39" s="52" t="s">
        <v>98</v>
      </c>
    </row>
    <row r="40" spans="1:6" s="32" customFormat="1" ht="141.75" outlineLevel="1" x14ac:dyDescent="0.25">
      <c r="A40" s="48" t="s">
        <v>97</v>
      </c>
      <c r="B40" s="49" t="s">
        <v>99</v>
      </c>
      <c r="C40" s="51">
        <f>30000+30000+24000</f>
        <v>84000</v>
      </c>
      <c r="D40" s="46"/>
      <c r="E40" s="52" t="s">
        <v>113</v>
      </c>
      <c r="F40" s="84" t="s">
        <v>149</v>
      </c>
    </row>
    <row r="41" spans="1:6" s="32" customFormat="1" ht="81.75" outlineLevel="1" x14ac:dyDescent="0.25">
      <c r="A41" s="48" t="s">
        <v>97</v>
      </c>
      <c r="B41" s="59" t="s">
        <v>57</v>
      </c>
      <c r="C41" s="50">
        <v>100000</v>
      </c>
      <c r="D41" s="46"/>
      <c r="E41" s="52" t="s">
        <v>117</v>
      </c>
    </row>
    <row r="42" spans="1:6" s="32" customFormat="1" ht="47.25" outlineLevel="1" x14ac:dyDescent="0.25">
      <c r="A42" s="48" t="s">
        <v>97</v>
      </c>
      <c r="B42" s="49" t="s">
        <v>167</v>
      </c>
      <c r="C42" s="50">
        <v>50000</v>
      </c>
      <c r="D42" s="46"/>
      <c r="E42" s="52" t="s">
        <v>168</v>
      </c>
    </row>
    <row r="43" spans="1:6" s="32" customFormat="1" ht="31.5" outlineLevel="1" x14ac:dyDescent="0.25">
      <c r="A43" s="53" t="s">
        <v>25</v>
      </c>
      <c r="B43" s="49" t="s">
        <v>180</v>
      </c>
      <c r="C43" s="50">
        <v>90000</v>
      </c>
      <c r="D43" s="46"/>
      <c r="E43" s="52" t="s">
        <v>181</v>
      </c>
    </row>
    <row r="44" spans="1:6" s="32" customFormat="1" ht="15" customHeight="1" x14ac:dyDescent="0.25">
      <c r="A44" s="39" t="s">
        <v>79</v>
      </c>
      <c r="B44" s="40"/>
      <c r="C44" s="41">
        <f>C45+C46</f>
        <v>64000</v>
      </c>
      <c r="D44" s="40"/>
      <c r="E44" s="40"/>
    </row>
    <row r="45" spans="1:6" s="33" customFormat="1" ht="141.75" outlineLevel="1" x14ac:dyDescent="0.25">
      <c r="A45" s="43" t="s">
        <v>115</v>
      </c>
      <c r="B45" s="63" t="s">
        <v>114</v>
      </c>
      <c r="C45" s="64">
        <v>40000</v>
      </c>
      <c r="D45" s="63"/>
      <c r="E45" s="43" t="s">
        <v>157</v>
      </c>
      <c r="F45" s="85" t="s">
        <v>150</v>
      </c>
    </row>
    <row r="46" spans="1:6" s="32" customFormat="1" ht="78.75" outlineLevel="1" x14ac:dyDescent="0.25">
      <c r="A46" s="48" t="s">
        <v>123</v>
      </c>
      <c r="B46" s="65" t="s">
        <v>93</v>
      </c>
      <c r="C46" s="46">
        <v>24000</v>
      </c>
      <c r="D46" s="46"/>
      <c r="E46" s="47" t="s">
        <v>175</v>
      </c>
    </row>
    <row r="47" spans="1:6" s="32" customFormat="1" ht="47.25" outlineLevel="1" x14ac:dyDescent="0.25">
      <c r="A47" s="48" t="s">
        <v>177</v>
      </c>
      <c r="B47" s="65" t="s">
        <v>178</v>
      </c>
      <c r="C47" s="46">
        <f>12*1000</f>
        <v>12000</v>
      </c>
      <c r="D47" s="46"/>
      <c r="E47" s="47" t="s">
        <v>179</v>
      </c>
    </row>
    <row r="48" spans="1:6" s="32" customFormat="1" ht="94.5" outlineLevel="1" x14ac:dyDescent="0.25">
      <c r="A48" s="48" t="s">
        <v>177</v>
      </c>
      <c r="B48" s="65"/>
      <c r="C48" s="46">
        <v>58000</v>
      </c>
      <c r="D48" s="46"/>
      <c r="E48" s="47" t="s">
        <v>176</v>
      </c>
    </row>
    <row r="49" spans="1:5" s="32" customFormat="1" ht="15" customHeight="1" x14ac:dyDescent="0.25">
      <c r="A49" s="39" t="s">
        <v>82</v>
      </c>
      <c r="B49" s="40"/>
      <c r="C49" s="41">
        <f>C50+C51+C52</f>
        <v>56000</v>
      </c>
      <c r="D49" s="40"/>
      <c r="E49" s="40"/>
    </row>
    <row r="50" spans="1:5" s="32" customFormat="1" ht="78.75" outlineLevel="1" x14ac:dyDescent="0.25">
      <c r="A50" s="48" t="s">
        <v>116</v>
      </c>
      <c r="B50" s="44" t="s">
        <v>54</v>
      </c>
      <c r="C50" s="51"/>
      <c r="D50" s="46"/>
      <c r="E50" s="52" t="s">
        <v>185</v>
      </c>
    </row>
    <row r="51" spans="1:5" s="32" customFormat="1" ht="67.5" customHeight="1" outlineLevel="1" x14ac:dyDescent="0.25">
      <c r="A51" s="48" t="s">
        <v>116</v>
      </c>
      <c r="B51" s="59" t="s">
        <v>52</v>
      </c>
      <c r="C51" s="51">
        <v>50000</v>
      </c>
      <c r="D51" s="46"/>
      <c r="E51" s="52" t="s">
        <v>159</v>
      </c>
    </row>
    <row r="52" spans="1:5" s="32" customFormat="1" ht="47.25" x14ac:dyDescent="0.25">
      <c r="A52" s="48" t="s">
        <v>100</v>
      </c>
      <c r="B52" s="49" t="s">
        <v>108</v>
      </c>
      <c r="C52" s="51">
        <v>6000</v>
      </c>
      <c r="D52" s="46"/>
      <c r="E52" s="52" t="s">
        <v>107</v>
      </c>
    </row>
    <row r="53" spans="1:5" s="32" customFormat="1" ht="15.75" x14ac:dyDescent="0.25">
      <c r="A53" s="66" t="s">
        <v>35</v>
      </c>
      <c r="B53" s="67"/>
      <c r="C53" s="68">
        <f>C5+C8+C13+C18+C21+C44+C30+C37+C49</f>
        <v>6713420.6533333333</v>
      </c>
      <c r="D53" s="68"/>
      <c r="E53" s="52"/>
    </row>
    <row r="54" spans="1:5" ht="15.75" x14ac:dyDescent="0.25">
      <c r="A54" s="1"/>
      <c r="B54" s="1"/>
      <c r="C54" s="36"/>
      <c r="D54" s="36"/>
      <c r="E54" s="30"/>
    </row>
    <row r="55" spans="1:5" ht="15.75" x14ac:dyDescent="0.25">
      <c r="A55" s="1" t="s">
        <v>161</v>
      </c>
      <c r="B55" s="1"/>
      <c r="C55" s="36"/>
      <c r="D55" s="36"/>
      <c r="E55" s="30"/>
    </row>
    <row r="56" spans="1:5" ht="15.75" x14ac:dyDescent="0.25">
      <c r="A56" s="1" t="s">
        <v>162</v>
      </c>
      <c r="B56" s="1"/>
      <c r="C56" s="36"/>
      <c r="D56" s="36"/>
      <c r="E56" s="30"/>
    </row>
    <row r="57" spans="1:5" ht="15.75" x14ac:dyDescent="0.25">
      <c r="A57" s="1" t="s">
        <v>163</v>
      </c>
      <c r="B57" s="1"/>
      <c r="C57" s="36"/>
      <c r="D57" s="36"/>
      <c r="E57" s="30"/>
    </row>
    <row r="59" spans="1:5" ht="18.75" x14ac:dyDescent="0.25">
      <c r="A59" s="92" t="s">
        <v>126</v>
      </c>
      <c r="B59" s="91">
        <f>C53</f>
        <v>6713420.6533333333</v>
      </c>
      <c r="C59" s="74"/>
      <c r="D59" s="74"/>
    </row>
    <row r="60" spans="1:5" x14ac:dyDescent="0.25">
      <c r="A60" s="93" t="s">
        <v>124</v>
      </c>
      <c r="B60" s="73">
        <v>962</v>
      </c>
      <c r="C60" s="73" t="s">
        <v>87</v>
      </c>
      <c r="D60" s="73" t="s">
        <v>125</v>
      </c>
    </row>
    <row r="61" spans="1:5" x14ac:dyDescent="0.25">
      <c r="A61" s="94" t="s">
        <v>83</v>
      </c>
      <c r="B61" s="74">
        <v>3</v>
      </c>
      <c r="C61" s="74">
        <f>B60-B61</f>
        <v>959</v>
      </c>
      <c r="D61" s="75">
        <f>B59/C61</f>
        <v>7000.438637469586</v>
      </c>
    </row>
    <row r="62" spans="1:5" ht="15.75" customHeight="1" x14ac:dyDescent="0.25">
      <c r="A62" s="94" t="s">
        <v>84</v>
      </c>
      <c r="B62" s="74">
        <v>2</v>
      </c>
      <c r="C62" s="74">
        <f>C61-B62</f>
        <v>957</v>
      </c>
      <c r="D62" s="75">
        <f>B59/C62</f>
        <v>7015.0686032741205</v>
      </c>
    </row>
    <row r="63" spans="1:5" x14ac:dyDescent="0.25">
      <c r="A63" s="95" t="s">
        <v>85</v>
      </c>
      <c r="B63" s="74">
        <v>135</v>
      </c>
      <c r="C63" s="74">
        <f>C62-B63</f>
        <v>822</v>
      </c>
      <c r="D63" s="75">
        <f>B59/C63</f>
        <v>8167.1784103811842</v>
      </c>
    </row>
    <row r="64" spans="1:5" ht="30" x14ac:dyDescent="0.25">
      <c r="A64" s="95" t="s">
        <v>137</v>
      </c>
      <c r="B64" s="74">
        <f>C62-C64</f>
        <v>361</v>
      </c>
      <c r="C64" s="74">
        <v>596</v>
      </c>
      <c r="D64" s="75">
        <f>B59/C64</f>
        <v>11264.128612975392</v>
      </c>
      <c r="E64" s="90" t="s">
        <v>160</v>
      </c>
    </row>
    <row r="65" spans="1:6" ht="21" x14ac:dyDescent="0.25">
      <c r="A65" s="95" t="s">
        <v>138</v>
      </c>
      <c r="B65" s="74"/>
      <c r="C65" s="89">
        <v>700</v>
      </c>
      <c r="D65" s="75">
        <f>B59/C65</f>
        <v>9590.6009333333332</v>
      </c>
      <c r="E65" s="96">
        <f>C65-C64</f>
        <v>104</v>
      </c>
      <c r="F65" s="86" t="s">
        <v>145</v>
      </c>
    </row>
    <row r="66" spans="1:6" s="2" customFormat="1" ht="75.75" x14ac:dyDescent="0.3">
      <c r="A66" s="92" t="s">
        <v>86</v>
      </c>
      <c r="B66" s="76">
        <f>C65</f>
        <v>700</v>
      </c>
      <c r="C66" s="76"/>
      <c r="D66" s="76">
        <v>9000</v>
      </c>
      <c r="E66" s="90" t="s">
        <v>166</v>
      </c>
      <c r="F66" s="87" t="s">
        <v>148</v>
      </c>
    </row>
    <row r="67" spans="1:6" x14ac:dyDescent="0.25">
      <c r="F67" s="86" t="s">
        <v>147</v>
      </c>
    </row>
    <row r="68" spans="1:6" x14ac:dyDescent="0.25">
      <c r="A68" s="71" t="s">
        <v>139</v>
      </c>
      <c r="F68" s="88" t="s">
        <v>146</v>
      </c>
    </row>
    <row r="69" spans="1:6" s="32" customFormat="1" ht="20.25" customHeight="1" x14ac:dyDescent="0.25">
      <c r="A69" s="73" t="s">
        <v>140</v>
      </c>
      <c r="B69" s="73" t="s">
        <v>141</v>
      </c>
      <c r="C69" s="35"/>
      <c r="D69" s="35"/>
      <c r="E69" s="98"/>
      <c r="F69" s="80" t="s">
        <v>151</v>
      </c>
    </row>
    <row r="70" spans="1:6" s="32" customFormat="1" ht="20.25" customHeight="1" x14ac:dyDescent="0.25">
      <c r="A70" s="74">
        <v>2022</v>
      </c>
      <c r="B70" s="74">
        <v>620</v>
      </c>
      <c r="C70" s="97" t="s">
        <v>164</v>
      </c>
      <c r="D70" s="35"/>
      <c r="E70" s="98"/>
    </row>
    <row r="71" spans="1:6" s="32" customFormat="1" ht="20.25" customHeight="1" x14ac:dyDescent="0.25">
      <c r="A71" s="74">
        <v>2023</v>
      </c>
      <c r="B71" s="74">
        <f>587+9</f>
        <v>596</v>
      </c>
      <c r="C71" s="97" t="s">
        <v>165</v>
      </c>
      <c r="D71" s="35"/>
      <c r="E71" s="98"/>
    </row>
  </sheetData>
  <pageMargins left="0.70866141732283472" right="0.70866141732283472" top="0.74803149606299213" bottom="0.74803149606299213" header="0.31496062992125984" footer="0.31496062992125984"/>
  <pageSetup paperSize="9" scale="50" fitToHeight="6" orientation="portrait" r:id="rId1"/>
  <headerFooter>
    <oddHeader>&amp;R&amp;"Calibri"&amp;8&amp;K000000 INTERNAL&amp;1#_x000D_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Бюджет на 2024 год_6000</vt:lpstr>
      <vt:lpstr>Бюджет на 2024 год_9000</vt:lpstr>
      <vt:lpstr>'Бюджет на 2024 год_6000'!Заголовки_для_печати</vt:lpstr>
      <vt:lpstr>'Бюджет на 2024 год_9000'!Заголовки_для_печати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Иван Прыгунов</cp:lastModifiedBy>
  <cp:lastPrinted>2024-03-24T12:31:53Z</cp:lastPrinted>
  <dcterms:created xsi:type="dcterms:W3CDTF">2023-12-10T11:52:41Z</dcterms:created>
  <dcterms:modified xsi:type="dcterms:W3CDTF">2024-04-01T09:35:42Z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253c176-a2f2-4be2-8179-4aaddf5854c7_Enabled">
    <vt:lpwstr>true</vt:lpwstr>
  </property>
  <property fmtid="{D5CDD505-2E9C-101B-9397-08002B2CF9AE}" pid="3" name="MSIP_Label_6253c176-a2f2-4be2-8179-4aaddf5854c7_SetDate">
    <vt:lpwstr>2023-12-12T08:37:23Z</vt:lpwstr>
  </property>
  <property fmtid="{D5CDD505-2E9C-101B-9397-08002B2CF9AE}" pid="4" name="MSIP_Label_6253c176-a2f2-4be2-8179-4aaddf5854c7_Method">
    <vt:lpwstr>Standard</vt:lpwstr>
  </property>
  <property fmtid="{D5CDD505-2E9C-101B-9397-08002B2CF9AE}" pid="5" name="MSIP_Label_6253c176-a2f2-4be2-8179-4aaddf5854c7_Name">
    <vt:lpwstr>Internal</vt:lpwstr>
  </property>
  <property fmtid="{D5CDD505-2E9C-101B-9397-08002B2CF9AE}" pid="6" name="MSIP_Label_6253c176-a2f2-4be2-8179-4aaddf5854c7_SiteId">
    <vt:lpwstr>bead5117-9c3e-4ba4-8c6a-360637fe4689</vt:lpwstr>
  </property>
  <property fmtid="{D5CDD505-2E9C-101B-9397-08002B2CF9AE}" pid="7" name="MSIP_Label_6253c176-a2f2-4be2-8179-4aaddf5854c7_ActionId">
    <vt:lpwstr>634ea154-93ba-401c-b63b-cfc155b2cf41</vt:lpwstr>
  </property>
  <property fmtid="{D5CDD505-2E9C-101B-9397-08002B2CF9AE}" pid="8" name="MSIP_Label_6253c176-a2f2-4be2-8179-4aaddf5854c7_ContentBits">
    <vt:lpwstr>1</vt:lpwstr>
  </property>
</Properties>
</file>